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fileSharing readOnlyRecommended="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maaritkivilo/Dropbox/OPHI - OPHI - OPHI [Dec 2015]/OPHI RiP (Research in Progress)/RP 43c Towards (vs 3 - Feb 2016)/"/>
    </mc:Choice>
  </mc:AlternateContent>
  <bookViews>
    <workbookView xWindow="780" yWindow="460" windowWidth="19780" windowHeight="13800" tabRatio="936" firstSheet="13" activeTab="17"/>
  </bookViews>
  <sheets>
    <sheet name="Income Surveys" sheetId="4" state="hidden" r:id="rId1"/>
    <sheet name="IS Overview" sheetId="2" state="hidden" r:id="rId2"/>
    <sheet name="IS Analysis" sheetId="3" state="hidden" r:id="rId3"/>
    <sheet name="IS Data" sheetId="1" state="hidden" r:id="rId4"/>
    <sheet name="Multidimensional Surveys" sheetId="5" r:id="rId5"/>
    <sheet name="MD Overview" sheetId="6" r:id="rId6"/>
    <sheet name="MD Analysis" sheetId="8" r:id="rId7"/>
    <sheet name="DHS Data" sheetId="10" r:id="rId8"/>
    <sheet name="LSMS Data" sheetId="15" r:id="rId9"/>
    <sheet name="MICS Data" sheetId="7" r:id="rId10"/>
    <sheet name="CWIQ Data" sheetId="16" r:id="rId11"/>
    <sheet name="WHS" sheetId="14" r:id="rId12"/>
    <sheet name="PAPFAM Data" sheetId="13" r:id="rId13"/>
    <sheet name="ILCS or IS" sheetId="17" r:id="rId14"/>
    <sheet name="graph by survey type" sheetId="20" r:id="rId15"/>
    <sheet name="Survey increase by year" sheetId="21" r:id="rId16"/>
    <sheet name="Chart1" sheetId="23" r:id="rId17"/>
    <sheet name="all_multi" sheetId="12" r:id="rId18"/>
    <sheet name="Final appendix table" sheetId="22" r:id="rId19"/>
  </sheets>
  <definedNames>
    <definedName name="_xlnm._FilterDatabase" localSheetId="17" hidden="1">all_multi!$B$7:$M$768</definedName>
    <definedName name="_xlnm._FilterDatabase" localSheetId="10" hidden="1">'CWIQ Data'!$A$7:$G$7</definedName>
    <definedName name="_xlnm._FilterDatabase" localSheetId="7" hidden="1">'DHS Data'!$A$7:$H$348</definedName>
    <definedName name="_xlnm._FilterDatabase" localSheetId="13" hidden="1">'ILCS or IS'!$A$7:$G$37</definedName>
    <definedName name="_xlnm._FilterDatabase" localSheetId="3" hidden="1">'IS Data'!$A$7:$H$7</definedName>
    <definedName name="_xlnm._FilterDatabase" localSheetId="8" hidden="1">'LSMS Data'!$A$7:$G$132</definedName>
    <definedName name="_xlnm._FilterDatabase" localSheetId="9" hidden="1">'MICS Data'!$A$7:$I$214</definedName>
  </definedNames>
  <calcPr calcId="150001" concurrentCalc="0"/>
  <pivotCaches>
    <pivotCache cacheId="0" r:id="rId20"/>
    <pivotCache cacheId="1" r:id="rId21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5" l="1"/>
  <c r="E103" i="15"/>
  <c r="E35" i="15"/>
  <c r="E36" i="15"/>
  <c r="E53" i="15"/>
  <c r="E54" i="15"/>
  <c r="E106" i="15"/>
  <c r="E55" i="15"/>
  <c r="E85" i="15"/>
  <c r="E98" i="15"/>
  <c r="E104" i="15"/>
  <c r="E117" i="15"/>
  <c r="E56" i="15"/>
  <c r="E118" i="15"/>
  <c r="E57" i="15"/>
  <c r="E77" i="15"/>
  <c r="E89" i="15"/>
  <c r="E112" i="15"/>
  <c r="E119" i="15"/>
  <c r="E120" i="15"/>
  <c r="E37" i="15"/>
  <c r="E58" i="15"/>
  <c r="E105" i="15"/>
  <c r="E121" i="15"/>
  <c r="E17" i="15"/>
  <c r="E27" i="15"/>
  <c r="E38" i="15"/>
  <c r="E59" i="15"/>
  <c r="E8" i="15"/>
  <c r="E9" i="15"/>
  <c r="E10" i="15"/>
  <c r="E11" i="15"/>
  <c r="E12" i="15"/>
  <c r="E13" i="15"/>
  <c r="E14" i="15"/>
  <c r="E15" i="15"/>
  <c r="E16" i="15"/>
  <c r="E18" i="15"/>
  <c r="E19" i="15"/>
  <c r="E20" i="15"/>
  <c r="E21" i="15"/>
  <c r="E22" i="15"/>
  <c r="E23" i="15"/>
  <c r="E24" i="15"/>
  <c r="E25" i="15"/>
  <c r="E26" i="15"/>
  <c r="E28" i="15"/>
  <c r="E29" i="15"/>
  <c r="E30" i="15"/>
  <c r="E31" i="15"/>
  <c r="E32" i="15"/>
  <c r="E34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8" i="15"/>
  <c r="E79" i="15"/>
  <c r="E80" i="15"/>
  <c r="E81" i="15"/>
  <c r="E82" i="15"/>
  <c r="E83" i="15"/>
  <c r="E84" i="15"/>
  <c r="E86" i="15"/>
  <c r="E87" i="15"/>
  <c r="E88" i="15"/>
  <c r="E90" i="15"/>
  <c r="E91" i="15"/>
  <c r="E92" i="15"/>
  <c r="E93" i="15"/>
  <c r="E94" i="15"/>
  <c r="E95" i="15"/>
  <c r="E96" i="15"/>
  <c r="E97" i="15"/>
  <c r="E99" i="15"/>
  <c r="E100" i="15"/>
  <c r="E101" i="15"/>
  <c r="E102" i="15"/>
  <c r="E107" i="15"/>
  <c r="E108" i="15"/>
  <c r="E109" i="15"/>
  <c r="E110" i="15"/>
  <c r="E111" i="15"/>
  <c r="E113" i="15"/>
  <c r="E114" i="15"/>
  <c r="E115" i="15"/>
  <c r="E116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8" i="14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M770" i="12"/>
  <c r="E50" i="16"/>
  <c r="B15" i="6"/>
  <c r="F21" i="13"/>
  <c r="B16" i="6"/>
  <c r="E37" i="17"/>
  <c r="B17" i="6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12" i="8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8" i="12"/>
  <c r="H18" i="13"/>
  <c r="G21" i="13"/>
  <c r="I642" i="12"/>
  <c r="I467" i="12"/>
  <c r="I398" i="12"/>
  <c r="B14" i="6"/>
  <c r="B13" i="6"/>
  <c r="B12" i="6"/>
  <c r="H213" i="7"/>
  <c r="H143" i="7"/>
  <c r="H159" i="7"/>
  <c r="H100" i="7"/>
  <c r="H57" i="7"/>
  <c r="H198" i="7"/>
  <c r="H183" i="7"/>
  <c r="H17" i="7"/>
  <c r="F348" i="10"/>
  <c r="B18" i="6"/>
  <c r="K36" i="21"/>
  <c r="L4" i="21"/>
  <c r="L5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J4" i="21"/>
  <c r="K4" i="21"/>
  <c r="J5" i="21"/>
  <c r="K5" i="21"/>
  <c r="J6" i="21"/>
  <c r="K6" i="21"/>
  <c r="J7" i="21"/>
  <c r="K7" i="21"/>
  <c r="J8" i="21"/>
  <c r="K8" i="21"/>
  <c r="J9" i="21"/>
  <c r="K9" i="21"/>
  <c r="J10" i="21"/>
  <c r="K10" i="21"/>
  <c r="J11" i="21"/>
  <c r="K11" i="21"/>
  <c r="J12" i="21"/>
  <c r="K12" i="21"/>
  <c r="J13" i="21"/>
  <c r="K13" i="21"/>
  <c r="J14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D9" i="8"/>
  <c r="D10" i="8"/>
  <c r="D11" i="8"/>
  <c r="D8" i="8"/>
  <c r="E8" i="8"/>
  <c r="F9" i="8"/>
  <c r="F10" i="8"/>
  <c r="F11" i="8"/>
  <c r="F8" i="8"/>
  <c r="G8" i="8"/>
  <c r="B11" i="8"/>
  <c r="B10" i="8"/>
  <c r="B9" i="8"/>
  <c r="B8" i="8"/>
  <c r="C8" i="8"/>
  <c r="I452" i="12"/>
  <c r="I360" i="12"/>
  <c r="I364" i="12"/>
  <c r="I10" i="12"/>
  <c r="I100" i="12"/>
  <c r="I34" i="12"/>
  <c r="I156" i="12"/>
  <c r="I700" i="12"/>
  <c r="I514" i="12"/>
  <c r="I349" i="12"/>
  <c r="I762" i="12"/>
  <c r="I754" i="12"/>
  <c r="I749" i="12"/>
  <c r="I747" i="12"/>
  <c r="I734" i="12"/>
  <c r="I727" i="12"/>
  <c r="I723" i="12"/>
  <c r="I707" i="12"/>
  <c r="I715" i="12"/>
  <c r="I705" i="12"/>
  <c r="I704" i="12"/>
  <c r="I701" i="12"/>
  <c r="I698" i="12"/>
  <c r="I696" i="12"/>
  <c r="I692" i="12"/>
  <c r="I691" i="12"/>
  <c r="I683" i="12"/>
  <c r="I686" i="12"/>
  <c r="I681" i="12"/>
  <c r="I680" i="12"/>
  <c r="I682" i="12"/>
  <c r="I676" i="12"/>
  <c r="I651" i="12"/>
  <c r="I652" i="12"/>
  <c r="I661" i="12"/>
  <c r="I646" i="12"/>
  <c r="I644" i="12"/>
  <c r="I650" i="12"/>
  <c r="I638" i="12"/>
  <c r="I632" i="12"/>
  <c r="I630" i="12"/>
  <c r="I626" i="12"/>
  <c r="I625" i="12"/>
  <c r="I622" i="12"/>
  <c r="I623" i="12"/>
  <c r="I612" i="12"/>
  <c r="I610" i="12"/>
  <c r="I613" i="12"/>
  <c r="I600" i="12"/>
  <c r="I586" i="12"/>
  <c r="I581" i="12"/>
  <c r="I584" i="12"/>
  <c r="I570" i="12"/>
  <c r="I568" i="12"/>
  <c r="I569" i="12"/>
  <c r="I561" i="12"/>
  <c r="I544" i="12"/>
  <c r="I545" i="12"/>
  <c r="I543" i="12"/>
  <c r="I542" i="12"/>
  <c r="I541" i="12"/>
  <c r="I538" i="12"/>
  <c r="I528" i="12"/>
  <c r="I529" i="12"/>
  <c r="I527" i="12"/>
  <c r="I526" i="12"/>
  <c r="I524" i="12"/>
  <c r="I525" i="12"/>
  <c r="I519" i="12"/>
  <c r="I510" i="12"/>
  <c r="I515" i="12"/>
  <c r="I507" i="12"/>
  <c r="I502" i="12"/>
  <c r="I493" i="12"/>
  <c r="I494" i="12"/>
  <c r="I486" i="12"/>
  <c r="I484" i="12"/>
  <c r="I479" i="12"/>
  <c r="I468" i="12"/>
  <c r="I471" i="12"/>
  <c r="I470" i="12"/>
  <c r="I463" i="12"/>
  <c r="I462" i="12"/>
  <c r="I453" i="12"/>
  <c r="I449" i="12"/>
  <c r="I442" i="12"/>
  <c r="I447" i="12"/>
  <c r="I435" i="12"/>
  <c r="I434" i="12"/>
  <c r="I418" i="12"/>
  <c r="I414" i="12"/>
  <c r="I411" i="12"/>
  <c r="I416" i="12"/>
  <c r="I390" i="12"/>
  <c r="I403" i="12"/>
  <c r="I396" i="12"/>
  <c r="I392" i="12"/>
  <c r="I388" i="12"/>
  <c r="I387" i="12"/>
  <c r="I380" i="12"/>
  <c r="I361" i="12"/>
  <c r="I341" i="12"/>
  <c r="I340" i="12"/>
  <c r="I336" i="12"/>
  <c r="I335" i="12"/>
  <c r="I329" i="12"/>
  <c r="I304" i="12"/>
  <c r="I300" i="12"/>
  <c r="I287" i="12"/>
  <c r="I283" i="12"/>
  <c r="I282" i="12"/>
  <c r="I280" i="12"/>
  <c r="I276" i="12"/>
  <c r="I269" i="12"/>
  <c r="I271" i="12"/>
  <c r="I262" i="12"/>
  <c r="I259" i="12"/>
  <c r="I254" i="12"/>
  <c r="I253" i="12"/>
  <c r="I232" i="12"/>
  <c r="I233" i="12"/>
  <c r="I238" i="12"/>
  <c r="I228" i="12"/>
  <c r="I220" i="12"/>
  <c r="I217" i="12"/>
  <c r="I212" i="12"/>
  <c r="I214" i="12"/>
  <c r="I209" i="12"/>
  <c r="I211" i="12"/>
  <c r="I152" i="12"/>
  <c r="I153" i="12"/>
  <c r="I149" i="12"/>
  <c r="I143" i="12"/>
  <c r="I142" i="12"/>
  <c r="I138" i="12"/>
  <c r="I134" i="12"/>
  <c r="I125" i="12"/>
  <c r="I114" i="12"/>
  <c r="I99" i="12"/>
  <c r="I98" i="12"/>
  <c r="I95" i="12"/>
  <c r="I78" i="12"/>
  <c r="I31" i="12"/>
  <c r="I12" i="12"/>
  <c r="I19" i="12"/>
  <c r="F50" i="16"/>
  <c r="F37" i="17"/>
  <c r="I725" i="12"/>
  <c r="I641" i="12"/>
  <c r="I444" i="12"/>
  <c r="I439" i="12"/>
  <c r="I362" i="12"/>
  <c r="I367" i="12"/>
  <c r="I224" i="12"/>
  <c r="I48" i="12"/>
  <c r="I47" i="12"/>
  <c r="I45" i="12"/>
  <c r="I44" i="12"/>
  <c r="I43" i="12"/>
  <c r="I42" i="12"/>
  <c r="I41" i="12"/>
  <c r="I39" i="12"/>
  <c r="I38" i="12"/>
  <c r="I36" i="12"/>
  <c r="I399" i="12"/>
  <c r="I383" i="12"/>
  <c r="I177" i="12"/>
  <c r="I24" i="12"/>
  <c r="I37" i="12"/>
  <c r="I35" i="12"/>
  <c r="I33" i="12"/>
  <c r="I221" i="12"/>
  <c r="I167" i="12"/>
  <c r="I163" i="12"/>
  <c r="I194" i="12"/>
  <c r="I191" i="12"/>
  <c r="I190" i="12"/>
  <c r="I179" i="12"/>
  <c r="I159" i="12"/>
  <c r="I162" i="12"/>
  <c r="I158" i="12"/>
  <c r="I132" i="12"/>
  <c r="I131" i="12"/>
  <c r="I120" i="12"/>
  <c r="I117" i="12"/>
  <c r="I106" i="12"/>
  <c r="I108" i="12"/>
  <c r="I92" i="12"/>
  <c r="I94" i="12"/>
  <c r="I85" i="12"/>
  <c r="I74" i="12"/>
  <c r="I76" i="12"/>
  <c r="I71" i="12"/>
  <c r="I70" i="12"/>
  <c r="I69" i="12"/>
  <c r="I66" i="12"/>
  <c r="I30" i="12"/>
  <c r="F138" i="15"/>
  <c r="G78" i="14"/>
  <c r="F78" i="14"/>
  <c r="H148" i="7"/>
  <c r="H27" i="7"/>
  <c r="H61" i="7"/>
  <c r="H116" i="7"/>
  <c r="H94" i="7"/>
  <c r="H206" i="7"/>
  <c r="H127" i="7"/>
  <c r="H126" i="7"/>
  <c r="H189" i="7"/>
  <c r="H197" i="7"/>
  <c r="H150" i="7"/>
  <c r="H151" i="7"/>
  <c r="H167" i="7"/>
  <c r="H166" i="7"/>
  <c r="H113" i="7"/>
  <c r="H93" i="7"/>
  <c r="H128" i="7"/>
  <c r="H122" i="7"/>
  <c r="H130" i="7"/>
  <c r="H98" i="7"/>
  <c r="H97" i="7"/>
  <c r="H24" i="7"/>
  <c r="H182" i="7"/>
  <c r="H121" i="7"/>
  <c r="H25" i="7"/>
  <c r="H16" i="7"/>
  <c r="H144" i="7"/>
  <c r="H119" i="7"/>
  <c r="H168" i="7"/>
  <c r="H171" i="7"/>
  <c r="H196" i="7"/>
  <c r="H169" i="7"/>
  <c r="H87" i="7"/>
  <c r="H20" i="7"/>
  <c r="H51" i="7"/>
  <c r="H142" i="7"/>
  <c r="H192" i="7"/>
  <c r="I766" i="12"/>
  <c r="I757" i="12"/>
  <c r="I755" i="12"/>
  <c r="I753" i="12"/>
  <c r="I752" i="12"/>
  <c r="I750" i="12"/>
  <c r="I745" i="12"/>
  <c r="I742" i="12"/>
  <c r="I736" i="12"/>
  <c r="I732" i="12"/>
  <c r="I731" i="12"/>
  <c r="I730" i="12"/>
  <c r="I728" i="12"/>
  <c r="I722" i="12"/>
  <c r="I721" i="12"/>
  <c r="I706" i="12"/>
  <c r="I699" i="12"/>
  <c r="I697" i="12"/>
  <c r="I694" i="12"/>
  <c r="I693" i="12"/>
  <c r="I688" i="12"/>
  <c r="I687" i="12"/>
  <c r="I685" i="12"/>
  <c r="I677" i="12"/>
  <c r="I647" i="12"/>
  <c r="I645" i="12"/>
  <c r="I643" i="12"/>
  <c r="I640" i="12"/>
  <c r="I639" i="12"/>
  <c r="I637" i="12"/>
  <c r="I636" i="12"/>
  <c r="I635" i="12"/>
  <c r="I634" i="12"/>
  <c r="I631" i="12"/>
  <c r="I619" i="12"/>
  <c r="I618" i="12"/>
  <c r="I614" i="12"/>
  <c r="I611" i="12"/>
  <c r="I609" i="12"/>
  <c r="I606" i="12"/>
  <c r="I605" i="12"/>
  <c r="I603" i="12"/>
  <c r="I591" i="12"/>
  <c r="I588" i="12"/>
  <c r="I583" i="12"/>
  <c r="I582" i="12"/>
  <c r="I572" i="12"/>
  <c r="I564" i="12"/>
  <c r="I537" i="12"/>
  <c r="I535" i="12"/>
  <c r="I534" i="12"/>
  <c r="I520" i="12"/>
  <c r="I516" i="12"/>
  <c r="I505" i="12"/>
  <c r="I503" i="12"/>
  <c r="I491" i="12"/>
  <c r="I478" i="12"/>
  <c r="I477" i="12"/>
  <c r="I476" i="12"/>
  <c r="I473" i="12"/>
  <c r="I469" i="12"/>
  <c r="I459" i="12"/>
  <c r="I455" i="12"/>
  <c r="I454" i="12"/>
  <c r="I448" i="12"/>
  <c r="I445" i="12"/>
  <c r="I433" i="12"/>
  <c r="I421" i="12"/>
  <c r="I412" i="12"/>
  <c r="I405" i="12"/>
  <c r="I402" i="12"/>
  <c r="I401" i="12"/>
  <c r="I400" i="12"/>
  <c r="I391" i="12"/>
  <c r="I386" i="12"/>
  <c r="I385" i="12"/>
  <c r="I384" i="12"/>
  <c r="I382" i="12"/>
  <c r="I381" i="12"/>
  <c r="I379" i="12"/>
  <c r="I378" i="12"/>
  <c r="I369" i="12"/>
  <c r="I359" i="12"/>
  <c r="I358" i="12"/>
  <c r="I352" i="12"/>
  <c r="I351" i="12"/>
  <c r="I346" i="12"/>
  <c r="I339" i="12"/>
  <c r="I338" i="12"/>
  <c r="I323" i="12"/>
  <c r="I318" i="12"/>
  <c r="I302" i="12"/>
  <c r="I301" i="12"/>
  <c r="I299" i="12"/>
  <c r="I297" i="12"/>
  <c r="I296" i="12"/>
  <c r="I291" i="12"/>
  <c r="I285" i="12"/>
  <c r="I273" i="12"/>
  <c r="I270" i="12"/>
  <c r="I268" i="12"/>
  <c r="I267" i="12"/>
  <c r="I266" i="12"/>
  <c r="I251" i="12"/>
  <c r="I250" i="12"/>
  <c r="I247" i="12"/>
  <c r="I245" i="12"/>
  <c r="I237" i="12"/>
  <c r="I231" i="12"/>
  <c r="I230" i="12"/>
  <c r="I227" i="12"/>
  <c r="I225" i="12"/>
  <c r="I223" i="12"/>
  <c r="I210" i="12"/>
  <c r="I197" i="12"/>
  <c r="I184" i="12"/>
  <c r="I178" i="12"/>
  <c r="I175" i="12"/>
  <c r="I174" i="12"/>
  <c r="I173" i="12"/>
  <c r="I171" i="12"/>
  <c r="I169" i="12"/>
  <c r="I160" i="12"/>
  <c r="I157" i="12"/>
  <c r="I150" i="12"/>
  <c r="I141" i="12"/>
  <c r="I139" i="12"/>
  <c r="I137" i="12"/>
  <c r="I136" i="12"/>
  <c r="I135" i="12"/>
  <c r="I129" i="12"/>
  <c r="I127" i="12"/>
  <c r="I116" i="12"/>
  <c r="I115" i="12"/>
  <c r="I109" i="12"/>
  <c r="I93" i="12"/>
  <c r="I91" i="12"/>
  <c r="I90" i="12"/>
  <c r="I89" i="12"/>
  <c r="I84" i="12"/>
  <c r="I81" i="12"/>
  <c r="I77" i="12"/>
  <c r="I68" i="12"/>
  <c r="I67" i="12"/>
  <c r="I64" i="12"/>
  <c r="I59" i="12"/>
  <c r="I53" i="12"/>
  <c r="I50" i="12"/>
  <c r="I29" i="12"/>
  <c r="I28" i="12"/>
  <c r="I25" i="12"/>
  <c r="I23" i="12"/>
  <c r="I22" i="12"/>
  <c r="I18" i="12"/>
  <c r="I13" i="12"/>
  <c r="I11" i="12"/>
  <c r="I9" i="12"/>
  <c r="I8" i="12"/>
  <c r="H212" i="7"/>
  <c r="H211" i="7"/>
  <c r="H210" i="7"/>
  <c r="H48" i="7"/>
  <c r="H209" i="7"/>
  <c r="H208" i="7"/>
  <c r="H207" i="7"/>
  <c r="H205" i="7"/>
  <c r="H204" i="7"/>
  <c r="H203" i="7"/>
  <c r="H202" i="7"/>
  <c r="H201" i="7"/>
  <c r="H200" i="7"/>
  <c r="H199" i="7"/>
  <c r="H195" i="7"/>
  <c r="H194" i="7"/>
  <c r="H193" i="7"/>
  <c r="H191" i="7"/>
  <c r="H190" i="7"/>
  <c r="H188" i="7"/>
  <c r="H187" i="7"/>
  <c r="H186" i="7"/>
  <c r="H185" i="7"/>
  <c r="H184" i="7"/>
  <c r="H181" i="7"/>
  <c r="H180" i="7"/>
  <c r="H179" i="7"/>
  <c r="H178" i="7"/>
  <c r="H177" i="7"/>
  <c r="H176" i="7"/>
  <c r="H175" i="7"/>
  <c r="H174" i="7"/>
  <c r="H173" i="7"/>
  <c r="H172" i="7"/>
  <c r="H170" i="7"/>
  <c r="H165" i="7"/>
  <c r="H164" i="7"/>
  <c r="H163" i="7"/>
  <c r="H162" i="7"/>
  <c r="H161" i="7"/>
  <c r="H158" i="7"/>
  <c r="H157" i="7"/>
  <c r="H156" i="7"/>
  <c r="H155" i="7"/>
  <c r="H154" i="7"/>
  <c r="H153" i="7"/>
  <c r="H152" i="7"/>
  <c r="H149" i="7"/>
  <c r="H147" i="7"/>
  <c r="H146" i="7"/>
  <c r="H145" i="7"/>
  <c r="H141" i="7"/>
  <c r="H140" i="7"/>
  <c r="H139" i="7"/>
  <c r="H138" i="7"/>
  <c r="H137" i="7"/>
  <c r="H136" i="7"/>
  <c r="H135" i="7"/>
  <c r="H134" i="7"/>
  <c r="H133" i="7"/>
  <c r="H132" i="7"/>
  <c r="H129" i="7"/>
  <c r="H125" i="7"/>
  <c r="H124" i="7"/>
  <c r="H123" i="7"/>
  <c r="H120" i="7"/>
  <c r="H118" i="7"/>
  <c r="H117" i="7"/>
  <c r="H115" i="7"/>
  <c r="H114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99" i="7"/>
  <c r="H96" i="7"/>
  <c r="H95" i="7"/>
  <c r="H92" i="7"/>
  <c r="H91" i="7"/>
  <c r="H90" i="7"/>
  <c r="H89" i="7"/>
  <c r="H88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0" i="7"/>
  <c r="H59" i="7"/>
  <c r="H58" i="7"/>
  <c r="H56" i="7"/>
  <c r="H55" i="7"/>
  <c r="H54" i="7"/>
  <c r="H53" i="7"/>
  <c r="H52" i="7"/>
  <c r="H50" i="7"/>
  <c r="H49" i="7"/>
  <c r="H47" i="7"/>
  <c r="H46" i="7"/>
  <c r="H45" i="7"/>
  <c r="H44" i="7"/>
  <c r="H43" i="7"/>
  <c r="H42" i="7"/>
  <c r="H41" i="7"/>
  <c r="H40" i="7"/>
  <c r="H39" i="7"/>
  <c r="H38" i="7"/>
  <c r="H37" i="7"/>
  <c r="H36" i="7"/>
  <c r="H34" i="7"/>
  <c r="H33" i="7"/>
  <c r="H32" i="7"/>
  <c r="H31" i="7"/>
  <c r="H30" i="7"/>
  <c r="H29" i="7"/>
  <c r="H28" i="7"/>
  <c r="H26" i="7"/>
  <c r="H23" i="7"/>
  <c r="H22" i="7"/>
  <c r="H21" i="7"/>
  <c r="H19" i="7"/>
  <c r="H18" i="7"/>
  <c r="H15" i="7"/>
  <c r="H14" i="7"/>
  <c r="H13" i="7"/>
  <c r="H12" i="7"/>
  <c r="H11" i="7"/>
  <c r="H10" i="7"/>
  <c r="H9" i="7"/>
  <c r="H8" i="7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" i="1"/>
  <c r="E9" i="1"/>
  <c r="D9" i="1"/>
  <c r="E8" i="1"/>
  <c r="D8" i="1"/>
  <c r="D12" i="1"/>
  <c r="D22" i="1"/>
  <c r="D28" i="1"/>
  <c r="D49" i="1"/>
  <c r="D109" i="1"/>
  <c r="D137" i="1"/>
  <c r="D168" i="1"/>
  <c r="D201" i="1"/>
  <c r="D225" i="1"/>
  <c r="D251" i="1"/>
  <c r="D287" i="1"/>
  <c r="D310" i="1"/>
  <c r="D354" i="1"/>
  <c r="D457" i="1"/>
  <c r="D596" i="1"/>
  <c r="D736" i="1"/>
  <c r="D504" i="1"/>
  <c r="D782" i="1"/>
  <c r="D23" i="1"/>
  <c r="D50" i="1"/>
  <c r="D110" i="1"/>
  <c r="D169" i="1"/>
  <c r="D252" i="1"/>
  <c r="D355" i="1"/>
  <c r="D458" i="1"/>
  <c r="D597" i="1"/>
  <c r="D644" i="1"/>
  <c r="D692" i="1"/>
  <c r="D737" i="1"/>
  <c r="D783" i="1"/>
  <c r="D816" i="1"/>
  <c r="D138" i="1"/>
  <c r="D288" i="1"/>
  <c r="D459" i="1"/>
  <c r="D738" i="1"/>
  <c r="D24" i="1"/>
  <c r="D51" i="1"/>
  <c r="D90" i="1"/>
  <c r="D139" i="1"/>
  <c r="D226" i="1"/>
  <c r="D289" i="1"/>
  <c r="D549" i="1"/>
  <c r="D693" i="1"/>
  <c r="D784" i="1"/>
  <c r="D384" i="1"/>
  <c r="D253" i="1"/>
  <c r="D29" i="1"/>
  <c r="D67" i="1"/>
  <c r="D121" i="1"/>
  <c r="D202" i="1"/>
  <c r="D290" i="1"/>
  <c r="D385" i="1"/>
  <c r="D505" i="1"/>
  <c r="D645" i="1"/>
  <c r="D785" i="1"/>
  <c r="D13" i="1"/>
  <c r="D68" i="1"/>
  <c r="D111" i="1"/>
  <c r="D140" i="1"/>
  <c r="D203" i="1"/>
  <c r="D254" i="1"/>
  <c r="D311" i="1"/>
  <c r="D356" i="1"/>
  <c r="D386" i="1"/>
  <c r="D460" i="1"/>
  <c r="D646" i="1"/>
  <c r="D739" i="1"/>
  <c r="D786" i="1"/>
  <c r="D417" i="1"/>
  <c r="D694" i="1"/>
  <c r="D170" i="1"/>
  <c r="D312" i="1"/>
  <c r="D461" i="1"/>
  <c r="D550" i="1"/>
  <c r="D647" i="1"/>
  <c r="D740" i="1"/>
  <c r="D291" i="1"/>
  <c r="D462" i="1"/>
  <c r="D551" i="1"/>
  <c r="D598" i="1"/>
  <c r="D741" i="1"/>
  <c r="D255" i="1"/>
  <c r="D357" i="1"/>
  <c r="D418" i="1"/>
  <c r="D463" i="1"/>
  <c r="D506" i="1"/>
  <c r="D552" i="1"/>
  <c r="D599" i="1"/>
  <c r="D648" i="1"/>
  <c r="D695" i="1"/>
  <c r="D742" i="1"/>
  <c r="D227" i="1"/>
  <c r="D419" i="1"/>
  <c r="D743" i="1"/>
  <c r="D69" i="1"/>
  <c r="D171" i="1"/>
  <c r="D228" i="1"/>
  <c r="D313" i="1"/>
  <c r="D387" i="1"/>
  <c r="D420" i="1"/>
  <c r="D464" i="1"/>
  <c r="D553" i="1"/>
  <c r="D600" i="1"/>
  <c r="D649" i="1"/>
  <c r="D696" i="1"/>
  <c r="D744" i="1"/>
  <c r="D421" i="1"/>
  <c r="D554" i="1"/>
  <c r="D697" i="1"/>
  <c r="D91" i="1"/>
  <c r="D141" i="1"/>
  <c r="D204" i="1"/>
  <c r="D229" i="1"/>
  <c r="D292" i="1"/>
  <c r="D422" i="1"/>
  <c r="D507" i="1"/>
  <c r="D698" i="1"/>
  <c r="D70" i="1"/>
  <c r="D314" i="1"/>
  <c r="D358" i="1"/>
  <c r="D388" i="1"/>
  <c r="D423" i="1"/>
  <c r="D555" i="1"/>
  <c r="D745" i="1"/>
  <c r="D71" i="1"/>
  <c r="D172" i="1"/>
  <c r="D256" i="1"/>
  <c r="D72" i="1"/>
  <c r="D173" i="1"/>
  <c r="D230" i="1"/>
  <c r="D315" i="1"/>
  <c r="D389" i="1"/>
  <c r="D424" i="1"/>
  <c r="D465" i="1"/>
  <c r="D508" i="1"/>
  <c r="D556" i="1"/>
  <c r="D257" i="1"/>
  <c r="D293" i="1"/>
  <c r="D316" i="1"/>
  <c r="D359" i="1"/>
  <c r="D390" i="1"/>
  <c r="D425" i="1"/>
  <c r="D466" i="1"/>
  <c r="D509" i="1"/>
  <c r="D601" i="1"/>
  <c r="D650" i="1"/>
  <c r="D699" i="1"/>
  <c r="D746" i="1"/>
  <c r="D52" i="1"/>
  <c r="D92" i="1"/>
  <c r="D174" i="1"/>
  <c r="D317" i="1"/>
  <c r="D360" i="1"/>
  <c r="D391" i="1"/>
  <c r="D426" i="1"/>
  <c r="D467" i="1"/>
  <c r="D557" i="1"/>
  <c r="D700" i="1"/>
  <c r="D73" i="1"/>
  <c r="D175" i="1"/>
  <c r="D258" i="1"/>
  <c r="D427" i="1"/>
  <c r="D468" i="1"/>
  <c r="D510" i="1"/>
  <c r="D558" i="1"/>
  <c r="D651" i="1"/>
  <c r="D701" i="1"/>
  <c r="D747" i="1"/>
  <c r="D787" i="1"/>
  <c r="D74" i="1"/>
  <c r="D176" i="1"/>
  <c r="D318" i="1"/>
  <c r="D469" i="1"/>
  <c r="D559" i="1"/>
  <c r="D602" i="1"/>
  <c r="D652" i="1"/>
  <c r="D702" i="1"/>
  <c r="D748" i="1"/>
  <c r="D788" i="1"/>
  <c r="D75" i="1"/>
  <c r="D177" i="1"/>
  <c r="D231" i="1"/>
  <c r="D259" i="1"/>
  <c r="D294" i="1"/>
  <c r="D319" i="1"/>
  <c r="D470" i="1"/>
  <c r="D511" i="1"/>
  <c r="D560" i="1"/>
  <c r="D703" i="1"/>
  <c r="D749" i="1"/>
  <c r="D76" i="1"/>
  <c r="D178" i="1"/>
  <c r="D260" i="1"/>
  <c r="D320" i="1"/>
  <c r="D392" i="1"/>
  <c r="D428" i="1"/>
  <c r="D471" i="1"/>
  <c r="D561" i="1"/>
  <c r="D750" i="1"/>
  <c r="D321" i="1"/>
  <c r="D393" i="1"/>
  <c r="D472" i="1"/>
  <c r="D512" i="1"/>
  <c r="D562" i="1"/>
  <c r="D603" i="1"/>
  <c r="D653" i="1"/>
  <c r="D751" i="1"/>
  <c r="D789" i="1"/>
  <c r="D77" i="1"/>
  <c r="D142" i="1"/>
  <c r="D295" i="1"/>
  <c r="D322" i="1"/>
  <c r="D361" i="1"/>
  <c r="D429" i="1"/>
  <c r="D473" i="1"/>
  <c r="D513" i="1"/>
  <c r="D563" i="1"/>
  <c r="D604" i="1"/>
  <c r="D654" i="1"/>
  <c r="D704" i="1"/>
  <c r="D752" i="1"/>
  <c r="D790" i="1"/>
  <c r="D817" i="1"/>
  <c r="D605" i="1"/>
  <c r="D655" i="1"/>
  <c r="D705" i="1"/>
  <c r="D753" i="1"/>
  <c r="D30" i="1"/>
  <c r="D53" i="1"/>
  <c r="D93" i="1"/>
  <c r="D143" i="1"/>
  <c r="D179" i="1"/>
  <c r="D261" i="1"/>
  <c r="D323" i="1"/>
  <c r="D362" i="1"/>
  <c r="D394" i="1"/>
  <c r="D430" i="1"/>
  <c r="D474" i="1"/>
  <c r="D564" i="1"/>
  <c r="D606" i="1"/>
  <c r="D656" i="1"/>
  <c r="D706" i="1"/>
  <c r="D754" i="1"/>
  <c r="D791" i="1"/>
  <c r="D94" i="1"/>
  <c r="D144" i="1"/>
  <c r="D205" i="1"/>
  <c r="D324" i="1"/>
  <c r="D395" i="1"/>
  <c r="D431" i="1"/>
  <c r="D475" i="1"/>
  <c r="D514" i="1"/>
  <c r="D565" i="1"/>
  <c r="D607" i="1"/>
  <c r="D657" i="1"/>
  <c r="D707" i="1"/>
  <c r="D755" i="1"/>
  <c r="D792" i="1"/>
  <c r="D78" i="1"/>
  <c r="D180" i="1"/>
  <c r="D262" i="1"/>
  <c r="D363" i="1"/>
  <c r="D432" i="1"/>
  <c r="D476" i="1"/>
  <c r="D515" i="1"/>
  <c r="D566" i="1"/>
  <c r="D608" i="1"/>
  <c r="D658" i="1"/>
  <c r="D708" i="1"/>
  <c r="D756" i="1"/>
  <c r="D793" i="1"/>
  <c r="D477" i="1"/>
  <c r="D516" i="1"/>
  <c r="D567" i="1"/>
  <c r="D609" i="1"/>
  <c r="D659" i="1"/>
  <c r="D709" i="1"/>
  <c r="D757" i="1"/>
  <c r="D794" i="1"/>
  <c r="D79" i="1"/>
  <c r="D145" i="1"/>
  <c r="D263" i="1"/>
  <c r="D568" i="1"/>
  <c r="D610" i="1"/>
  <c r="D660" i="1"/>
  <c r="D710" i="1"/>
  <c r="D758" i="1"/>
  <c r="D795" i="1"/>
  <c r="D54" i="1"/>
  <c r="D181" i="1"/>
  <c r="D325" i="1"/>
  <c r="D478" i="1"/>
  <c r="D517" i="1"/>
  <c r="D569" i="1"/>
  <c r="D364" i="1"/>
  <c r="D518" i="1"/>
  <c r="D570" i="1"/>
  <c r="D711" i="1"/>
  <c r="D796" i="1"/>
  <c r="D55" i="1"/>
  <c r="D206" i="1"/>
  <c r="D479" i="1"/>
  <c r="D519" i="1"/>
  <c r="D571" i="1"/>
  <c r="D611" i="1"/>
  <c r="D661" i="1"/>
  <c r="D712" i="1"/>
  <c r="D759" i="1"/>
  <c r="D80" i="1"/>
  <c r="D182" i="1"/>
  <c r="D326" i="1"/>
  <c r="D81" i="1"/>
  <c r="D146" i="1"/>
  <c r="D232" i="1"/>
  <c r="D264" i="1"/>
  <c r="D365" i="1"/>
  <c r="D480" i="1"/>
  <c r="D520" i="1"/>
  <c r="D572" i="1"/>
  <c r="D612" i="1"/>
  <c r="D662" i="1"/>
  <c r="D713" i="1"/>
  <c r="D760" i="1"/>
  <c r="D797" i="1"/>
  <c r="D38" i="1"/>
  <c r="D56" i="1"/>
  <c r="D122" i="1"/>
  <c r="D147" i="1"/>
  <c r="D183" i="1"/>
  <c r="D207" i="1"/>
  <c r="D233" i="1"/>
  <c r="D265" i="1"/>
  <c r="D296" i="1"/>
  <c r="D327" i="1"/>
  <c r="D366" i="1"/>
  <c r="D396" i="1"/>
  <c r="D433" i="1"/>
  <c r="D481" i="1"/>
  <c r="D521" i="1"/>
  <c r="D573" i="1"/>
  <c r="D613" i="1"/>
  <c r="D663" i="1"/>
  <c r="D714" i="1"/>
  <c r="D761" i="1"/>
  <c r="D798" i="1"/>
  <c r="D818" i="1"/>
  <c r="D184" i="1"/>
  <c r="D208" i="1"/>
  <c r="D234" i="1"/>
  <c r="D266" i="1"/>
  <c r="D297" i="1"/>
  <c r="D328" i="1"/>
  <c r="D367" i="1"/>
  <c r="D123" i="1"/>
  <c r="D185" i="1"/>
  <c r="D298" i="1"/>
  <c r="D368" i="1"/>
  <c r="D397" i="1"/>
  <c r="D434" i="1"/>
  <c r="D482" i="1"/>
  <c r="D614" i="1"/>
  <c r="D664" i="1"/>
  <c r="D715" i="1"/>
  <c r="D762" i="1"/>
  <c r="D14" i="1"/>
  <c r="D18" i="1"/>
  <c r="D20" i="1"/>
  <c r="D25" i="1"/>
  <c r="D31" i="1"/>
  <c r="D39" i="1"/>
  <c r="D57" i="1"/>
  <c r="D82" i="1"/>
  <c r="D95" i="1"/>
  <c r="D112" i="1"/>
  <c r="D148" i="1"/>
  <c r="D186" i="1"/>
  <c r="D235" i="1"/>
  <c r="D267" i="1"/>
  <c r="D299" i="1"/>
  <c r="D329" i="1"/>
  <c r="D369" i="1"/>
  <c r="D435" i="1"/>
  <c r="D483" i="1"/>
  <c r="D522" i="1"/>
  <c r="D574" i="1"/>
  <c r="D615" i="1"/>
  <c r="D665" i="1"/>
  <c r="D716" i="1"/>
  <c r="D763" i="1"/>
  <c r="D799" i="1"/>
  <c r="D58" i="1"/>
  <c r="D113" i="1"/>
  <c r="D149" i="1"/>
  <c r="D209" i="1"/>
  <c r="D268" i="1"/>
  <c r="D330" i="1"/>
  <c r="D398" i="1"/>
  <c r="D523" i="1"/>
  <c r="D666" i="1"/>
  <c r="D800" i="1"/>
  <c r="D10" i="1"/>
  <c r="D83" i="1"/>
  <c r="D96" i="1"/>
  <c r="D124" i="1"/>
  <c r="D150" i="1"/>
  <c r="D269" i="1"/>
  <c r="D370" i="1"/>
  <c r="D399" i="1"/>
  <c r="D436" i="1"/>
  <c r="D484" i="1"/>
  <c r="D524" i="1"/>
  <c r="D575" i="1"/>
  <c r="D616" i="1"/>
  <c r="D667" i="1"/>
  <c r="D717" i="1"/>
  <c r="D764" i="1"/>
  <c r="D801" i="1"/>
  <c r="D819" i="1"/>
  <c r="D15" i="1"/>
  <c r="D40" i="1"/>
  <c r="D97" i="1"/>
  <c r="D114" i="1"/>
  <c r="D125" i="1"/>
  <c r="D151" i="1"/>
  <c r="D187" i="1"/>
  <c r="D210" i="1"/>
  <c r="D236" i="1"/>
  <c r="D270" i="1"/>
  <c r="D300" i="1"/>
  <c r="D331" i="1"/>
  <c r="D371" i="1"/>
  <c r="D400" i="1"/>
  <c r="D437" i="1"/>
  <c r="D485" i="1"/>
  <c r="D525" i="1"/>
  <c r="D576" i="1"/>
  <c r="D617" i="1"/>
  <c r="D668" i="1"/>
  <c r="D718" i="1"/>
  <c r="D765" i="1"/>
  <c r="D802" i="1"/>
  <c r="D41" i="1"/>
  <c r="D98" i="1"/>
  <c r="D152" i="1"/>
  <c r="D271" i="1"/>
  <c r="D301" i="1"/>
  <c r="D401" i="1"/>
  <c r="D438" i="1"/>
  <c r="D486" i="1"/>
  <c r="D526" i="1"/>
  <c r="D577" i="1"/>
  <c r="D618" i="1"/>
  <c r="D669" i="1"/>
  <c r="D719" i="1"/>
  <c r="D766" i="1"/>
  <c r="D803" i="1"/>
  <c r="D820" i="1"/>
  <c r="D59" i="1"/>
  <c r="D211" i="1"/>
  <c r="D237" i="1"/>
  <c r="D332" i="1"/>
  <c r="D372" i="1"/>
  <c r="D402" i="1"/>
  <c r="D527" i="1"/>
  <c r="D619" i="1"/>
  <c r="D670" i="1"/>
  <c r="D720" i="1"/>
  <c r="D767" i="1"/>
  <c r="D804" i="1"/>
  <c r="D821" i="1"/>
  <c r="D99" i="1"/>
  <c r="D126" i="1"/>
  <c r="D238" i="1"/>
  <c r="D272" i="1"/>
  <c r="D333" i="1"/>
  <c r="D373" i="1"/>
  <c r="D439" i="1"/>
  <c r="D487" i="1"/>
  <c r="D528" i="1"/>
  <c r="D578" i="1"/>
  <c r="D620" i="1"/>
  <c r="D671" i="1"/>
  <c r="D721" i="1"/>
  <c r="D768" i="1"/>
  <c r="D805" i="1"/>
  <c r="D60" i="1"/>
  <c r="D100" i="1"/>
  <c r="D334" i="1"/>
  <c r="D403" i="1"/>
  <c r="D488" i="1"/>
  <c r="D529" i="1"/>
  <c r="D579" i="1"/>
  <c r="D672" i="1"/>
  <c r="D188" i="1"/>
  <c r="D335" i="1"/>
  <c r="D440" i="1"/>
  <c r="D42" i="1"/>
  <c r="D101" i="1"/>
  <c r="D115" i="1"/>
  <c r="D127" i="1"/>
  <c r="D153" i="1"/>
  <c r="D189" i="1"/>
  <c r="D212" i="1"/>
  <c r="D239" i="1"/>
  <c r="D273" i="1"/>
  <c r="D302" i="1"/>
  <c r="D336" i="1"/>
  <c r="D374" i="1"/>
  <c r="D441" i="1"/>
  <c r="D489" i="1"/>
  <c r="D530" i="1"/>
  <c r="D580" i="1"/>
  <c r="D621" i="1"/>
  <c r="D673" i="1"/>
  <c r="D722" i="1"/>
  <c r="D769" i="1"/>
  <c r="D806" i="1"/>
  <c r="D84" i="1"/>
  <c r="D116" i="1"/>
  <c r="D190" i="1"/>
  <c r="D274" i="1"/>
  <c r="D375" i="1"/>
  <c r="D442" i="1"/>
  <c r="D490" i="1"/>
  <c r="D581" i="1"/>
  <c r="D26" i="1"/>
  <c r="D102" i="1"/>
  <c r="D154" i="1"/>
  <c r="D213" i="1"/>
  <c r="D275" i="1"/>
  <c r="D337" i="1"/>
  <c r="D404" i="1"/>
  <c r="D491" i="1"/>
  <c r="D582" i="1"/>
  <c r="D622" i="1"/>
  <c r="D674" i="1"/>
  <c r="D770" i="1"/>
  <c r="D822" i="1"/>
  <c r="D191" i="1"/>
  <c r="D338" i="1"/>
  <c r="D443" i="1"/>
  <c r="D623" i="1"/>
  <c r="D103" i="1"/>
  <c r="D128" i="1"/>
  <c r="D240" i="1"/>
  <c r="D303" i="1"/>
  <c r="D339" i="1"/>
  <c r="D444" i="1"/>
  <c r="D492" i="1"/>
  <c r="D531" i="1"/>
  <c r="D583" i="1"/>
  <c r="D624" i="1"/>
  <c r="D675" i="1"/>
  <c r="D807" i="1"/>
  <c r="D823" i="1"/>
  <c r="D117" i="1"/>
  <c r="D241" i="1"/>
  <c r="D340" i="1"/>
  <c r="D376" i="1"/>
  <c r="D445" i="1"/>
  <c r="D493" i="1"/>
  <c r="D532" i="1"/>
  <c r="D584" i="1"/>
  <c r="D625" i="1"/>
  <c r="D676" i="1"/>
  <c r="D723" i="1"/>
  <c r="D771" i="1"/>
  <c r="D808" i="1"/>
  <c r="D824" i="1"/>
  <c r="D43" i="1"/>
  <c r="D214" i="1"/>
  <c r="D304" i="1"/>
  <c r="D341" i="1"/>
  <c r="D377" i="1"/>
  <c r="D405" i="1"/>
  <c r="D446" i="1"/>
  <c r="D494" i="1"/>
  <c r="D533" i="1"/>
  <c r="D585" i="1"/>
  <c r="D626" i="1"/>
  <c r="D677" i="1"/>
  <c r="D724" i="1"/>
  <c r="D772" i="1"/>
  <c r="D809" i="1"/>
  <c r="D825" i="1"/>
  <c r="D242" i="1"/>
  <c r="D378" i="1"/>
  <c r="D85" i="1"/>
  <c r="D155" i="1"/>
  <c r="D16" i="1"/>
  <c r="D104" i="1"/>
  <c r="D156" i="1"/>
  <c r="D243" i="1"/>
  <c r="D276" i="1"/>
  <c r="D305" i="1"/>
  <c r="D342" i="1"/>
  <c r="D406" i="1"/>
  <c r="D447" i="1"/>
  <c r="D495" i="1"/>
  <c r="D534" i="1"/>
  <c r="D586" i="1"/>
  <c r="D627" i="1"/>
  <c r="D678" i="1"/>
  <c r="D725" i="1"/>
  <c r="D773" i="1"/>
  <c r="D810" i="1"/>
  <c r="D826" i="1"/>
  <c r="D17" i="1"/>
  <c r="D61" i="1"/>
  <c r="D105" i="1"/>
  <c r="D157" i="1"/>
  <c r="D244" i="1"/>
  <c r="D343" i="1"/>
  <c r="D379" i="1"/>
  <c r="D448" i="1"/>
  <c r="D496" i="1"/>
  <c r="D535" i="1"/>
  <c r="D587" i="1"/>
  <c r="D628" i="1"/>
  <c r="D679" i="1"/>
  <c r="D86" i="1"/>
  <c r="D245" i="1"/>
  <c r="D497" i="1"/>
  <c r="D129" i="1"/>
  <c r="D277" i="1"/>
  <c r="D407" i="1"/>
  <c r="D629" i="1"/>
  <c r="D774" i="1"/>
  <c r="D44" i="1"/>
  <c r="D118" i="1"/>
  <c r="D215" i="1"/>
  <c r="D344" i="1"/>
  <c r="D630" i="1"/>
  <c r="D680" i="1"/>
  <c r="D62" i="1"/>
  <c r="D158" i="1"/>
  <c r="D306" i="1"/>
  <c r="D536" i="1"/>
  <c r="D681" i="1"/>
  <c r="D775" i="1"/>
  <c r="D827" i="1"/>
  <c r="D32" i="1"/>
  <c r="D130" i="1"/>
  <c r="D380" i="1"/>
  <c r="D449" i="1"/>
  <c r="D726" i="1"/>
  <c r="D588" i="1"/>
  <c r="D33" i="1"/>
  <c r="D119" i="1"/>
  <c r="D246" i="1"/>
  <c r="D408" i="1"/>
  <c r="D631" i="1"/>
  <c r="D727" i="1"/>
  <c r="D811" i="1"/>
  <c r="D345" i="1"/>
  <c r="D632" i="1"/>
  <c r="D27" i="1"/>
  <c r="D45" i="1"/>
  <c r="D106" i="1"/>
  <c r="D159" i="1"/>
  <c r="D278" i="1"/>
  <c r="D409" i="1"/>
  <c r="D633" i="1"/>
  <c r="D828" i="1"/>
  <c r="D537" i="1"/>
  <c r="D728" i="1"/>
  <c r="D21" i="1"/>
  <c r="D87" i="1"/>
  <c r="D216" i="1"/>
  <c r="D634" i="1"/>
  <c r="D829" i="1"/>
  <c r="D346" i="1"/>
  <c r="D589" i="1"/>
  <c r="D34" i="1"/>
  <c r="D279" i="1"/>
  <c r="D538" i="1"/>
  <c r="D830" i="1"/>
  <c r="D63" i="1"/>
  <c r="D131" i="1"/>
  <c r="D307" i="1"/>
  <c r="D381" i="1"/>
  <c r="D498" i="1"/>
  <c r="D635" i="1"/>
  <c r="D682" i="1"/>
  <c r="D776" i="1"/>
  <c r="D35" i="1"/>
  <c r="D132" i="1"/>
  <c r="D280" i="1"/>
  <c r="D499" i="1"/>
  <c r="D729" i="1"/>
  <c r="D410" i="1"/>
  <c r="D539" i="1"/>
  <c r="D46" i="1"/>
  <c r="D217" i="1"/>
  <c r="D218" i="1"/>
  <c r="D347" i="1"/>
  <c r="D540" i="1"/>
  <c r="D812" i="1"/>
  <c r="D160" i="1"/>
  <c r="D348" i="1"/>
  <c r="D683" i="1"/>
  <c r="D281" i="1"/>
  <c r="D450" i="1"/>
  <c r="D730" i="1"/>
  <c r="D451" i="1"/>
  <c r="D161" i="1"/>
  <c r="D541" i="1"/>
  <c r="D777" i="1"/>
  <c r="D500" i="1"/>
  <c r="D590" i="1"/>
  <c r="D636" i="1"/>
  <c r="D637" i="1"/>
  <c r="D36" i="1"/>
  <c r="D47" i="1"/>
  <c r="D64" i="1"/>
  <c r="D88" i="1"/>
  <c r="D192" i="1"/>
  <c r="D247" i="1"/>
  <c r="D349" i="1"/>
  <c r="D501" i="1"/>
  <c r="D778" i="1"/>
  <c r="D19" i="1"/>
  <c r="D248" i="1"/>
  <c r="D411" i="1"/>
  <c r="D638" i="1"/>
  <c r="D639" i="1"/>
  <c r="D350" i="1"/>
  <c r="D542" i="1"/>
  <c r="D89" i="1"/>
  <c r="D107" i="1"/>
  <c r="D162" i="1"/>
  <c r="D351" i="1"/>
  <c r="D684" i="1"/>
  <c r="D133" i="1"/>
  <c r="D219" i="1"/>
  <c r="D543" i="1"/>
  <c r="D731" i="1"/>
  <c r="D134" i="1"/>
  <c r="D193" i="1"/>
  <c r="D502" i="1"/>
  <c r="D163" i="1"/>
  <c r="D220" i="1"/>
  <c r="D308" i="1"/>
  <c r="D640" i="1"/>
  <c r="D65" i="1"/>
  <c r="D194" i="1"/>
  <c r="D221" i="1"/>
  <c r="D544" i="1"/>
  <c r="D732" i="1"/>
  <c r="D11" i="1"/>
  <c r="D195" i="1"/>
  <c r="D309" i="1"/>
  <c r="D382" i="1"/>
  <c r="D452" i="1"/>
  <c r="D641" i="1"/>
  <c r="D831" i="1"/>
  <c r="D352" i="1"/>
  <c r="D591" i="1"/>
  <c r="D222" i="1"/>
  <c r="D453" i="1"/>
  <c r="D685" i="1"/>
  <c r="D832" i="1"/>
  <c r="D66" i="1"/>
  <c r="D196" i="1"/>
  <c r="D282" i="1"/>
  <c r="D412" i="1"/>
  <c r="D592" i="1"/>
  <c r="D779" i="1"/>
  <c r="D283" i="1"/>
  <c r="D545" i="1"/>
  <c r="D780" i="1"/>
  <c r="D197" i="1"/>
  <c r="D593" i="1"/>
  <c r="D164" i="1"/>
  <c r="D223" i="1"/>
  <c r="D642" i="1"/>
  <c r="D781" i="1"/>
  <c r="D48" i="1"/>
  <c r="D165" i="1"/>
  <c r="D284" i="1"/>
  <c r="D594" i="1"/>
  <c r="D833" i="1"/>
  <c r="D37" i="1"/>
  <c r="D413" i="1"/>
  <c r="D686" i="1"/>
  <c r="D454" i="1"/>
  <c r="D135" i="1"/>
  <c r="D224" i="1"/>
  <c r="D455" i="1"/>
  <c r="D643" i="1"/>
  <c r="D414" i="1"/>
  <c r="D733" i="1"/>
  <c r="D120" i="1"/>
  <c r="D546" i="1"/>
  <c r="D198" i="1"/>
  <c r="D249" i="1"/>
  <c r="D415" i="1"/>
  <c r="D687" i="1"/>
  <c r="D813" i="1"/>
  <c r="D814" i="1"/>
  <c r="D250" i="1"/>
  <c r="D456" i="1"/>
  <c r="D834" i="1"/>
  <c r="D166" i="1"/>
  <c r="D416" i="1"/>
  <c r="D734" i="1"/>
  <c r="D688" i="1"/>
  <c r="D108" i="1"/>
  <c r="D167" i="1"/>
  <c r="D285" i="1"/>
  <c r="D383" i="1"/>
  <c r="D503" i="1"/>
  <c r="D689" i="1"/>
  <c r="D815" i="1"/>
  <c r="D136" i="1"/>
  <c r="D199" i="1"/>
  <c r="D286" i="1"/>
  <c r="D353" i="1"/>
  <c r="D547" i="1"/>
  <c r="D595" i="1"/>
  <c r="D690" i="1"/>
  <c r="D548" i="1"/>
  <c r="D691" i="1"/>
  <c r="D735" i="1"/>
  <c r="D200" i="1"/>
  <c r="E328" i="1"/>
  <c r="E367" i="1"/>
  <c r="E199" i="1"/>
  <c r="E286" i="1"/>
  <c r="E353" i="1"/>
  <c r="E547" i="1"/>
  <c r="E595" i="1"/>
  <c r="E690" i="1"/>
  <c r="E136" i="1"/>
  <c r="E167" i="1"/>
  <c r="E285" i="1"/>
  <c r="E383" i="1"/>
  <c r="E503" i="1"/>
  <c r="E689" i="1"/>
  <c r="E815" i="1"/>
  <c r="E108" i="1"/>
  <c r="E688" i="1"/>
  <c r="E416" i="1"/>
  <c r="E734" i="1"/>
  <c r="E166" i="1"/>
  <c r="E456" i="1"/>
  <c r="E834" i="1"/>
  <c r="E250" i="1"/>
  <c r="E814" i="1"/>
  <c r="E249" i="1"/>
  <c r="E415" i="1"/>
  <c r="E687" i="1"/>
  <c r="E813" i="1"/>
  <c r="E198" i="1"/>
  <c r="E546" i="1"/>
  <c r="E120" i="1"/>
  <c r="E733" i="1"/>
  <c r="E414" i="1"/>
  <c r="E224" i="1"/>
  <c r="E455" i="1"/>
  <c r="E643" i="1"/>
  <c r="E135" i="1"/>
  <c r="E454" i="1"/>
  <c r="E413" i="1"/>
  <c r="E686" i="1"/>
  <c r="E37" i="1"/>
  <c r="E165" i="1"/>
  <c r="E284" i="1"/>
  <c r="E594" i="1"/>
  <c r="E833" i="1"/>
  <c r="E48" i="1"/>
  <c r="E223" i="1"/>
  <c r="E642" i="1"/>
  <c r="E781" i="1"/>
  <c r="E164" i="1"/>
  <c r="E593" i="1"/>
  <c r="E197" i="1"/>
  <c r="E545" i="1"/>
  <c r="E780" i="1"/>
  <c r="E283" i="1"/>
  <c r="E196" i="1"/>
  <c r="E282" i="1"/>
  <c r="E412" i="1"/>
  <c r="E592" i="1"/>
  <c r="E779" i="1"/>
  <c r="E66" i="1"/>
  <c r="E453" i="1"/>
  <c r="E685" i="1"/>
  <c r="E832" i="1"/>
  <c r="E222" i="1"/>
  <c r="E591" i="1"/>
  <c r="E352" i="1"/>
  <c r="E195" i="1"/>
  <c r="E309" i="1"/>
  <c r="E382" i="1"/>
  <c r="E452" i="1"/>
  <c r="E641" i="1"/>
  <c r="E831" i="1"/>
  <c r="E11" i="1"/>
  <c r="E732" i="1"/>
  <c r="E194" i="1"/>
  <c r="E221" i="1"/>
  <c r="E544" i="1"/>
  <c r="E65" i="1"/>
  <c r="E220" i="1"/>
  <c r="E308" i="1"/>
  <c r="E640" i="1"/>
  <c r="E163" i="1"/>
  <c r="E193" i="1"/>
  <c r="E502" i="1"/>
  <c r="E134" i="1"/>
  <c r="E219" i="1"/>
  <c r="E543" i="1"/>
  <c r="E731" i="1"/>
  <c r="E133" i="1"/>
  <c r="E107" i="1"/>
  <c r="E162" i="1"/>
  <c r="E351" i="1"/>
  <c r="E684" i="1"/>
  <c r="E89" i="1"/>
  <c r="E542" i="1"/>
  <c r="E350" i="1"/>
  <c r="E639" i="1"/>
  <c r="E248" i="1"/>
  <c r="E411" i="1"/>
  <c r="E638" i="1"/>
  <c r="E19" i="1"/>
  <c r="E47" i="1"/>
  <c r="E64" i="1"/>
  <c r="E88" i="1"/>
  <c r="E192" i="1"/>
  <c r="E247" i="1"/>
  <c r="E349" i="1"/>
  <c r="E501" i="1"/>
  <c r="E778" i="1"/>
  <c r="E36" i="1"/>
  <c r="E637" i="1"/>
  <c r="E636" i="1"/>
  <c r="E590" i="1"/>
  <c r="E500" i="1"/>
  <c r="E541" i="1"/>
  <c r="E777" i="1"/>
  <c r="E161" i="1"/>
  <c r="E451" i="1"/>
  <c r="E450" i="1"/>
  <c r="E730" i="1"/>
  <c r="E281" i="1"/>
  <c r="E348" i="1"/>
  <c r="E683" i="1"/>
  <c r="E160" i="1"/>
  <c r="E347" i="1"/>
  <c r="E540" i="1"/>
  <c r="E812" i="1"/>
  <c r="E218" i="1"/>
  <c r="E217" i="1"/>
  <c r="E46" i="1"/>
  <c r="E539" i="1"/>
  <c r="E410" i="1"/>
  <c r="E132" i="1"/>
  <c r="E280" i="1"/>
  <c r="E499" i="1"/>
  <c r="E729" i="1"/>
  <c r="E35" i="1"/>
  <c r="E131" i="1"/>
  <c r="E307" i="1"/>
  <c r="E381" i="1"/>
  <c r="E498" i="1"/>
  <c r="E635" i="1"/>
  <c r="E682" i="1"/>
  <c r="E776" i="1"/>
  <c r="E63" i="1"/>
  <c r="E279" i="1"/>
  <c r="E538" i="1"/>
  <c r="E830" i="1"/>
  <c r="E34" i="1"/>
  <c r="E589" i="1"/>
  <c r="E346" i="1"/>
  <c r="E87" i="1"/>
  <c r="E216" i="1"/>
  <c r="E634" i="1"/>
  <c r="E829" i="1"/>
  <c r="E21" i="1"/>
  <c r="E728" i="1"/>
  <c r="E537" i="1"/>
  <c r="E45" i="1"/>
  <c r="E106" i="1"/>
  <c r="E159" i="1"/>
  <c r="E278" i="1"/>
  <c r="E409" i="1"/>
  <c r="E633" i="1"/>
  <c r="E828" i="1"/>
  <c r="E27" i="1"/>
  <c r="E632" i="1"/>
  <c r="E345" i="1"/>
  <c r="E811" i="1"/>
  <c r="E727" i="1"/>
  <c r="E119" i="1"/>
  <c r="E246" i="1"/>
  <c r="E408" i="1"/>
  <c r="E631" i="1"/>
  <c r="E33" i="1"/>
  <c r="E588" i="1"/>
  <c r="E130" i="1"/>
  <c r="E380" i="1"/>
  <c r="E449" i="1"/>
  <c r="E726" i="1"/>
  <c r="E32" i="1"/>
  <c r="E158" i="1"/>
  <c r="E306" i="1"/>
  <c r="E536" i="1"/>
  <c r="E681" i="1"/>
  <c r="E775" i="1"/>
  <c r="E827" i="1"/>
  <c r="E62" i="1"/>
  <c r="E680" i="1"/>
  <c r="E118" i="1"/>
  <c r="E215" i="1"/>
  <c r="E344" i="1"/>
  <c r="E630" i="1"/>
  <c r="E44" i="1"/>
  <c r="E277" i="1"/>
  <c r="E407" i="1"/>
  <c r="E629" i="1"/>
  <c r="E774" i="1"/>
  <c r="E129" i="1"/>
  <c r="E497" i="1"/>
  <c r="E245" i="1"/>
  <c r="E86" i="1"/>
  <c r="E61" i="1"/>
  <c r="E105" i="1"/>
  <c r="E157" i="1"/>
  <c r="E244" i="1"/>
  <c r="E343" i="1"/>
  <c r="E379" i="1"/>
  <c r="E448" i="1"/>
  <c r="E496" i="1"/>
  <c r="E535" i="1"/>
  <c r="E587" i="1"/>
  <c r="E628" i="1"/>
  <c r="E679" i="1"/>
  <c r="E17" i="1"/>
  <c r="E104" i="1"/>
  <c r="E156" i="1"/>
  <c r="E243" i="1"/>
  <c r="E276" i="1"/>
  <c r="E305" i="1"/>
  <c r="E342" i="1"/>
  <c r="E406" i="1"/>
  <c r="E447" i="1"/>
  <c r="E495" i="1"/>
  <c r="E534" i="1"/>
  <c r="E586" i="1"/>
  <c r="E627" i="1"/>
  <c r="E678" i="1"/>
  <c r="E725" i="1"/>
  <c r="E773" i="1"/>
  <c r="E810" i="1"/>
  <c r="E826" i="1"/>
  <c r="E16" i="1"/>
  <c r="E155" i="1"/>
  <c r="E85" i="1"/>
  <c r="E378" i="1"/>
  <c r="E242" i="1"/>
  <c r="E214" i="1"/>
  <c r="E304" i="1"/>
  <c r="E341" i="1"/>
  <c r="E377" i="1"/>
  <c r="E405" i="1"/>
  <c r="E446" i="1"/>
  <c r="E494" i="1"/>
  <c r="E533" i="1"/>
  <c r="E585" i="1"/>
  <c r="E626" i="1"/>
  <c r="E677" i="1"/>
  <c r="E724" i="1"/>
  <c r="E772" i="1"/>
  <c r="E809" i="1"/>
  <c r="E825" i="1"/>
  <c r="E43" i="1"/>
  <c r="E824" i="1"/>
  <c r="E241" i="1"/>
  <c r="E340" i="1"/>
  <c r="E376" i="1"/>
  <c r="E445" i="1"/>
  <c r="E493" i="1"/>
  <c r="E532" i="1"/>
  <c r="E584" i="1"/>
  <c r="E625" i="1"/>
  <c r="E676" i="1"/>
  <c r="E723" i="1"/>
  <c r="E771" i="1"/>
  <c r="E808" i="1"/>
  <c r="E117" i="1"/>
  <c r="E128" i="1"/>
  <c r="E240" i="1"/>
  <c r="E303" i="1"/>
  <c r="E339" i="1"/>
  <c r="E444" i="1"/>
  <c r="E492" i="1"/>
  <c r="E531" i="1"/>
  <c r="E583" i="1"/>
  <c r="E624" i="1"/>
  <c r="E675" i="1"/>
  <c r="E807" i="1"/>
  <c r="E823" i="1"/>
  <c r="E103" i="1"/>
  <c r="E338" i="1"/>
  <c r="E443" i="1"/>
  <c r="E623" i="1"/>
  <c r="E191" i="1"/>
  <c r="E102" i="1"/>
  <c r="E154" i="1"/>
  <c r="E213" i="1"/>
  <c r="E275" i="1"/>
  <c r="E337" i="1"/>
  <c r="E404" i="1"/>
  <c r="E491" i="1"/>
  <c r="E582" i="1"/>
  <c r="E622" i="1"/>
  <c r="E674" i="1"/>
  <c r="E770" i="1"/>
  <c r="E822" i="1"/>
  <c r="E26" i="1"/>
  <c r="E116" i="1"/>
  <c r="E190" i="1"/>
  <c r="E274" i="1"/>
  <c r="E375" i="1"/>
  <c r="E442" i="1"/>
  <c r="E490" i="1"/>
  <c r="E581" i="1"/>
  <c r="E84" i="1"/>
  <c r="E101" i="1"/>
  <c r="E115" i="1"/>
  <c r="E127" i="1"/>
  <c r="E153" i="1"/>
  <c r="E189" i="1"/>
  <c r="E212" i="1"/>
  <c r="E239" i="1"/>
  <c r="E273" i="1"/>
  <c r="E302" i="1"/>
  <c r="E336" i="1"/>
  <c r="E374" i="1"/>
  <c r="E441" i="1"/>
  <c r="E489" i="1"/>
  <c r="E530" i="1"/>
  <c r="E580" i="1"/>
  <c r="E621" i="1"/>
  <c r="E673" i="1"/>
  <c r="E722" i="1"/>
  <c r="E769" i="1"/>
  <c r="E806" i="1"/>
  <c r="E42" i="1"/>
  <c r="E440" i="1"/>
  <c r="E335" i="1"/>
  <c r="E188" i="1"/>
  <c r="E100" i="1"/>
  <c r="E334" i="1"/>
  <c r="E403" i="1"/>
  <c r="E488" i="1"/>
  <c r="E529" i="1"/>
  <c r="E579" i="1"/>
  <c r="E672" i="1"/>
  <c r="E60" i="1"/>
  <c r="E126" i="1"/>
  <c r="E238" i="1"/>
  <c r="E272" i="1"/>
  <c r="E333" i="1"/>
  <c r="E373" i="1"/>
  <c r="E439" i="1"/>
  <c r="E487" i="1"/>
  <c r="E528" i="1"/>
  <c r="E578" i="1"/>
  <c r="E620" i="1"/>
  <c r="E671" i="1"/>
  <c r="E721" i="1"/>
  <c r="E768" i="1"/>
  <c r="E805" i="1"/>
  <c r="E99" i="1"/>
  <c r="E211" i="1"/>
  <c r="E237" i="1"/>
  <c r="E332" i="1"/>
  <c r="E372" i="1"/>
  <c r="E402" i="1"/>
  <c r="E527" i="1"/>
  <c r="E619" i="1"/>
  <c r="E670" i="1"/>
  <c r="E720" i="1"/>
  <c r="E767" i="1"/>
  <c r="E804" i="1"/>
  <c r="E821" i="1"/>
  <c r="E59" i="1"/>
  <c r="E98" i="1"/>
  <c r="E152" i="1"/>
  <c r="E271" i="1"/>
  <c r="E301" i="1"/>
  <c r="E401" i="1"/>
  <c r="E438" i="1"/>
  <c r="E486" i="1"/>
  <c r="E526" i="1"/>
  <c r="E577" i="1"/>
  <c r="E618" i="1"/>
  <c r="E669" i="1"/>
  <c r="E719" i="1"/>
  <c r="E766" i="1"/>
  <c r="E803" i="1"/>
  <c r="E820" i="1"/>
  <c r="E41" i="1"/>
  <c r="E40" i="1"/>
  <c r="E97" i="1"/>
  <c r="E114" i="1"/>
  <c r="E125" i="1"/>
  <c r="E151" i="1"/>
  <c r="E187" i="1"/>
  <c r="E210" i="1"/>
  <c r="E236" i="1"/>
  <c r="E270" i="1"/>
  <c r="E300" i="1"/>
  <c r="E331" i="1"/>
  <c r="E371" i="1"/>
  <c r="E400" i="1"/>
  <c r="E437" i="1"/>
  <c r="E485" i="1"/>
  <c r="E525" i="1"/>
  <c r="E576" i="1"/>
  <c r="E617" i="1"/>
  <c r="E668" i="1"/>
  <c r="E718" i="1"/>
  <c r="E765" i="1"/>
  <c r="E802" i="1"/>
  <c r="E15" i="1"/>
  <c r="E83" i="1"/>
  <c r="E96" i="1"/>
  <c r="E124" i="1"/>
  <c r="E150" i="1"/>
  <c r="E269" i="1"/>
  <c r="E370" i="1"/>
  <c r="E399" i="1"/>
  <c r="E436" i="1"/>
  <c r="E484" i="1"/>
  <c r="E524" i="1"/>
  <c r="E575" i="1"/>
  <c r="E616" i="1"/>
  <c r="E667" i="1"/>
  <c r="E717" i="1"/>
  <c r="E764" i="1"/>
  <c r="E801" i="1"/>
  <c r="E819" i="1"/>
  <c r="E10" i="1"/>
  <c r="E113" i="1"/>
  <c r="E149" i="1"/>
  <c r="E209" i="1"/>
  <c r="E268" i="1"/>
  <c r="E330" i="1"/>
  <c r="E398" i="1"/>
  <c r="E523" i="1"/>
  <c r="E666" i="1"/>
  <c r="E800" i="1"/>
  <c r="E58" i="1"/>
  <c r="E18" i="1"/>
  <c r="E20" i="1"/>
  <c r="E25" i="1"/>
  <c r="E31" i="1"/>
  <c r="E39" i="1"/>
  <c r="E57" i="1"/>
  <c r="E82" i="1"/>
  <c r="E95" i="1"/>
  <c r="E112" i="1"/>
  <c r="E148" i="1"/>
  <c r="E186" i="1"/>
  <c r="E235" i="1"/>
  <c r="E267" i="1"/>
  <c r="E299" i="1"/>
  <c r="E329" i="1"/>
  <c r="E369" i="1"/>
  <c r="E435" i="1"/>
  <c r="E483" i="1"/>
  <c r="E522" i="1"/>
  <c r="E574" i="1"/>
  <c r="E615" i="1"/>
  <c r="E665" i="1"/>
  <c r="E716" i="1"/>
  <c r="E763" i="1"/>
  <c r="E799" i="1"/>
  <c r="E14" i="1"/>
  <c r="E185" i="1"/>
  <c r="E298" i="1"/>
  <c r="E368" i="1"/>
  <c r="E397" i="1"/>
  <c r="E434" i="1"/>
  <c r="E482" i="1"/>
  <c r="E614" i="1"/>
  <c r="E664" i="1"/>
  <c r="E715" i="1"/>
  <c r="E762" i="1"/>
  <c r="E123" i="1"/>
  <c r="E208" i="1"/>
  <c r="E234" i="1"/>
  <c r="E266" i="1"/>
  <c r="E297" i="1"/>
  <c r="E184" i="1"/>
  <c r="E56" i="1"/>
  <c r="E122" i="1"/>
  <c r="E147" i="1"/>
  <c r="E183" i="1"/>
  <c r="E207" i="1"/>
  <c r="E233" i="1"/>
  <c r="E265" i="1"/>
  <c r="E296" i="1"/>
  <c r="E327" i="1"/>
  <c r="E366" i="1"/>
  <c r="E396" i="1"/>
  <c r="E433" i="1"/>
  <c r="E481" i="1"/>
  <c r="E521" i="1"/>
  <c r="E573" i="1"/>
  <c r="E613" i="1"/>
  <c r="E663" i="1"/>
  <c r="E714" i="1"/>
  <c r="E761" i="1"/>
  <c r="E798" i="1"/>
  <c r="E818" i="1"/>
  <c r="E38" i="1"/>
  <c r="E146" i="1"/>
  <c r="E232" i="1"/>
  <c r="E264" i="1"/>
  <c r="E365" i="1"/>
  <c r="E480" i="1"/>
  <c r="E520" i="1"/>
  <c r="E572" i="1"/>
  <c r="E612" i="1"/>
  <c r="E662" i="1"/>
  <c r="E713" i="1"/>
  <c r="E760" i="1"/>
  <c r="E797" i="1"/>
  <c r="E81" i="1"/>
  <c r="E182" i="1"/>
  <c r="E326" i="1"/>
  <c r="E80" i="1"/>
  <c r="E206" i="1"/>
  <c r="E479" i="1"/>
  <c r="E519" i="1"/>
  <c r="E571" i="1"/>
  <c r="E611" i="1"/>
  <c r="E661" i="1"/>
  <c r="E712" i="1"/>
  <c r="E759" i="1"/>
  <c r="E55" i="1"/>
  <c r="E518" i="1"/>
  <c r="E570" i="1"/>
  <c r="E711" i="1"/>
  <c r="E796" i="1"/>
  <c r="E364" i="1"/>
  <c r="E181" i="1"/>
  <c r="E325" i="1"/>
  <c r="E478" i="1"/>
  <c r="E517" i="1"/>
  <c r="E569" i="1"/>
  <c r="E54" i="1"/>
  <c r="E145" i="1"/>
  <c r="E263" i="1"/>
  <c r="E568" i="1"/>
  <c r="E610" i="1"/>
  <c r="E660" i="1"/>
  <c r="E710" i="1"/>
  <c r="E758" i="1"/>
  <c r="E795" i="1"/>
  <c r="E79" i="1"/>
  <c r="E516" i="1"/>
  <c r="E567" i="1"/>
  <c r="E609" i="1"/>
  <c r="E659" i="1"/>
  <c r="E709" i="1"/>
  <c r="E757" i="1"/>
  <c r="E794" i="1"/>
  <c r="E477" i="1"/>
  <c r="E180" i="1"/>
  <c r="E262" i="1"/>
  <c r="E363" i="1"/>
  <c r="E432" i="1"/>
  <c r="E476" i="1"/>
  <c r="E515" i="1"/>
  <c r="E566" i="1"/>
  <c r="E608" i="1"/>
  <c r="E658" i="1"/>
  <c r="E708" i="1"/>
  <c r="E756" i="1"/>
  <c r="E793" i="1"/>
  <c r="E78" i="1"/>
  <c r="E144" i="1"/>
  <c r="E205" i="1"/>
  <c r="E324" i="1"/>
  <c r="E395" i="1"/>
  <c r="E431" i="1"/>
  <c r="E475" i="1"/>
  <c r="E514" i="1"/>
  <c r="E565" i="1"/>
  <c r="E607" i="1"/>
  <c r="E657" i="1"/>
  <c r="E707" i="1"/>
  <c r="E755" i="1"/>
  <c r="E792" i="1"/>
  <c r="E94" i="1"/>
  <c r="E53" i="1"/>
  <c r="E93" i="1"/>
  <c r="E143" i="1"/>
  <c r="E179" i="1"/>
  <c r="E261" i="1"/>
  <c r="E323" i="1"/>
  <c r="E362" i="1"/>
  <c r="E394" i="1"/>
  <c r="E430" i="1"/>
  <c r="E474" i="1"/>
  <c r="E564" i="1"/>
  <c r="E606" i="1"/>
  <c r="E656" i="1"/>
  <c r="E706" i="1"/>
  <c r="E754" i="1"/>
  <c r="E791" i="1"/>
  <c r="E30" i="1"/>
  <c r="E655" i="1"/>
  <c r="E705" i="1"/>
  <c r="E753" i="1"/>
  <c r="E605" i="1"/>
  <c r="E142" i="1"/>
  <c r="E295" i="1"/>
  <c r="E322" i="1"/>
  <c r="E361" i="1"/>
  <c r="E429" i="1"/>
  <c r="E473" i="1"/>
  <c r="E513" i="1"/>
  <c r="E563" i="1"/>
  <c r="E604" i="1"/>
  <c r="E654" i="1"/>
  <c r="E704" i="1"/>
  <c r="E752" i="1"/>
  <c r="E790" i="1"/>
  <c r="E817" i="1"/>
  <c r="E77" i="1"/>
  <c r="E393" i="1"/>
  <c r="E472" i="1"/>
  <c r="E512" i="1"/>
  <c r="E562" i="1"/>
  <c r="E603" i="1"/>
  <c r="E653" i="1"/>
  <c r="E751" i="1"/>
  <c r="E789" i="1"/>
  <c r="E321" i="1"/>
  <c r="E178" i="1"/>
  <c r="E260" i="1"/>
  <c r="E320" i="1"/>
  <c r="E392" i="1"/>
  <c r="E428" i="1"/>
  <c r="E471" i="1"/>
  <c r="E561" i="1"/>
  <c r="E750" i="1"/>
  <c r="E76" i="1"/>
  <c r="E177" i="1"/>
  <c r="E231" i="1"/>
  <c r="E259" i="1"/>
  <c r="E294" i="1"/>
  <c r="E319" i="1"/>
  <c r="E470" i="1"/>
  <c r="E511" i="1"/>
  <c r="E560" i="1"/>
  <c r="E703" i="1"/>
  <c r="E749" i="1"/>
  <c r="E75" i="1"/>
  <c r="E176" i="1"/>
  <c r="E318" i="1"/>
  <c r="E469" i="1"/>
  <c r="E559" i="1"/>
  <c r="E602" i="1"/>
  <c r="E652" i="1"/>
  <c r="E702" i="1"/>
  <c r="E748" i="1"/>
  <c r="E788" i="1"/>
  <c r="E74" i="1"/>
  <c r="E258" i="1"/>
  <c r="E427" i="1"/>
  <c r="E468" i="1"/>
  <c r="E510" i="1"/>
  <c r="E558" i="1"/>
  <c r="E651" i="1"/>
  <c r="E701" i="1"/>
  <c r="E747" i="1"/>
  <c r="E787" i="1"/>
  <c r="E175" i="1"/>
  <c r="E73" i="1"/>
  <c r="E92" i="1"/>
  <c r="E174" i="1"/>
  <c r="E317" i="1"/>
  <c r="E360" i="1"/>
  <c r="E391" i="1"/>
  <c r="E426" i="1"/>
  <c r="E467" i="1"/>
  <c r="E557" i="1"/>
  <c r="E700" i="1"/>
  <c r="E52" i="1"/>
  <c r="E293" i="1"/>
  <c r="E316" i="1"/>
  <c r="E359" i="1"/>
  <c r="E390" i="1"/>
  <c r="E425" i="1"/>
  <c r="E466" i="1"/>
  <c r="E509" i="1"/>
  <c r="E601" i="1"/>
  <c r="E650" i="1"/>
  <c r="E699" i="1"/>
  <c r="E746" i="1"/>
  <c r="E257" i="1"/>
  <c r="E173" i="1"/>
  <c r="E230" i="1"/>
  <c r="E315" i="1"/>
  <c r="E389" i="1"/>
  <c r="E424" i="1"/>
  <c r="E465" i="1"/>
  <c r="E508" i="1"/>
  <c r="E556" i="1"/>
  <c r="E256" i="1"/>
  <c r="E72" i="1"/>
  <c r="E172" i="1"/>
  <c r="E71" i="1"/>
  <c r="E314" i="1"/>
  <c r="E358" i="1"/>
  <c r="E388" i="1"/>
  <c r="E423" i="1"/>
  <c r="E555" i="1"/>
  <c r="E745" i="1"/>
  <c r="E70" i="1"/>
  <c r="E141" i="1"/>
  <c r="E204" i="1"/>
  <c r="E229" i="1"/>
  <c r="E292" i="1"/>
  <c r="E422" i="1"/>
  <c r="E507" i="1"/>
  <c r="E698" i="1"/>
  <c r="E91" i="1"/>
  <c r="E554" i="1"/>
  <c r="E697" i="1"/>
  <c r="E421" i="1"/>
  <c r="E171" i="1"/>
  <c r="E228" i="1"/>
  <c r="E313" i="1"/>
  <c r="E387" i="1"/>
  <c r="E420" i="1"/>
  <c r="E464" i="1"/>
  <c r="E553" i="1"/>
  <c r="E600" i="1"/>
  <c r="E649" i="1"/>
  <c r="E696" i="1"/>
  <c r="E744" i="1"/>
  <c r="E69" i="1"/>
  <c r="E419" i="1"/>
  <c r="E743" i="1"/>
  <c r="E227" i="1"/>
  <c r="E357" i="1"/>
  <c r="E418" i="1"/>
  <c r="E463" i="1"/>
  <c r="E506" i="1"/>
  <c r="E552" i="1"/>
  <c r="E599" i="1"/>
  <c r="E648" i="1"/>
  <c r="E695" i="1"/>
  <c r="E742" i="1"/>
  <c r="E255" i="1"/>
  <c r="E462" i="1"/>
  <c r="E551" i="1"/>
  <c r="E598" i="1"/>
  <c r="E741" i="1"/>
  <c r="E291" i="1"/>
  <c r="E312" i="1"/>
  <c r="E461" i="1"/>
  <c r="E550" i="1"/>
  <c r="E647" i="1"/>
  <c r="E740" i="1"/>
  <c r="E170" i="1"/>
  <c r="E694" i="1"/>
  <c r="E417" i="1"/>
  <c r="E68" i="1"/>
  <c r="E111" i="1"/>
  <c r="E140" i="1"/>
  <c r="E203" i="1"/>
  <c r="E254" i="1"/>
  <c r="E311" i="1"/>
  <c r="E356" i="1"/>
  <c r="E386" i="1"/>
  <c r="E460" i="1"/>
  <c r="E646" i="1"/>
  <c r="E739" i="1"/>
  <c r="E786" i="1"/>
  <c r="E13" i="1"/>
  <c r="E67" i="1"/>
  <c r="E121" i="1"/>
  <c r="E202" i="1"/>
  <c r="E290" i="1"/>
  <c r="E385" i="1"/>
  <c r="E505" i="1"/>
  <c r="E645" i="1"/>
  <c r="E785" i="1"/>
  <c r="E29" i="1"/>
  <c r="E253" i="1"/>
  <c r="E384" i="1"/>
  <c r="E51" i="1"/>
  <c r="E90" i="1"/>
  <c r="E139" i="1"/>
  <c r="E226" i="1"/>
  <c r="E289" i="1"/>
  <c r="E549" i="1"/>
  <c r="E693" i="1"/>
  <c r="E784" i="1"/>
  <c r="E24" i="1"/>
  <c r="E288" i="1"/>
  <c r="E459" i="1"/>
  <c r="E738" i="1"/>
  <c r="E138" i="1"/>
  <c r="E50" i="1"/>
  <c r="E110" i="1"/>
  <c r="E169" i="1"/>
  <c r="E252" i="1"/>
  <c r="E355" i="1"/>
  <c r="E458" i="1"/>
  <c r="E597" i="1"/>
  <c r="E644" i="1"/>
  <c r="E692" i="1"/>
  <c r="E737" i="1"/>
  <c r="E783" i="1"/>
  <c r="E816" i="1"/>
  <c r="E23" i="1"/>
  <c r="E782" i="1"/>
  <c r="E504" i="1"/>
  <c r="E200" i="1"/>
  <c r="E22" i="1"/>
  <c r="E28" i="1"/>
  <c r="E49" i="1"/>
  <c r="E109" i="1"/>
  <c r="E137" i="1"/>
  <c r="E168" i="1"/>
  <c r="E201" i="1"/>
  <c r="E225" i="1"/>
  <c r="E251" i="1"/>
  <c r="E287" i="1"/>
  <c r="E310" i="1"/>
  <c r="E354" i="1"/>
  <c r="E457" i="1"/>
  <c r="E596" i="1"/>
  <c r="E736" i="1"/>
  <c r="E12" i="1"/>
  <c r="E548" i="1"/>
  <c r="E691" i="1"/>
  <c r="E735" i="1"/>
  <c r="B11" i="3"/>
  <c r="A8" i="2"/>
  <c r="B13" i="3"/>
  <c r="B29" i="3"/>
  <c r="G835" i="1"/>
  <c r="D34" i="3"/>
  <c r="D23" i="3"/>
  <c r="B32" i="3"/>
  <c r="B37" i="3"/>
  <c r="B25" i="3"/>
  <c r="B21" i="3"/>
  <c r="B17" i="3"/>
  <c r="D8" i="3"/>
  <c r="E8" i="3"/>
  <c r="D14" i="3"/>
  <c r="D19" i="3"/>
  <c r="D24" i="3"/>
  <c r="D30" i="3"/>
  <c r="D35" i="3"/>
  <c r="B33" i="3"/>
  <c r="D11" i="3"/>
  <c r="D16" i="3"/>
  <c r="D22" i="3"/>
  <c r="D27" i="3"/>
  <c r="D32" i="3"/>
  <c r="B10" i="3"/>
  <c r="B38" i="3"/>
  <c r="B28" i="3"/>
  <c r="B16" i="3"/>
  <c r="B36" i="3"/>
  <c r="B35" i="3"/>
  <c r="B34" i="3"/>
  <c r="B30" i="3"/>
  <c r="B24" i="3"/>
  <c r="B20" i="3"/>
  <c r="B12" i="3"/>
  <c r="B8" i="3"/>
  <c r="C8" i="3"/>
  <c r="B22" i="3"/>
  <c r="B14" i="3"/>
  <c r="B19" i="3"/>
  <c r="B15" i="3"/>
  <c r="B31" i="3"/>
  <c r="B27" i="3"/>
  <c r="B23" i="3"/>
  <c r="B18" i="3"/>
  <c r="B9" i="3"/>
  <c r="C9" i="3"/>
  <c r="B26" i="3"/>
  <c r="D37" i="3"/>
  <c r="D9" i="3"/>
  <c r="E9" i="3"/>
  <c r="D13" i="3"/>
  <c r="D17" i="3"/>
  <c r="D21" i="3"/>
  <c r="D25" i="3"/>
  <c r="D29" i="3"/>
  <c r="D33" i="3"/>
  <c r="D12" i="3"/>
  <c r="D36" i="3"/>
  <c r="D26" i="3"/>
  <c r="D15" i="3"/>
  <c r="D10" i="3"/>
  <c r="E10" i="3"/>
  <c r="E11" i="3"/>
  <c r="E12" i="3"/>
  <c r="E13" i="3"/>
  <c r="E14" i="3"/>
  <c r="D31" i="3"/>
  <c r="D20" i="3"/>
  <c r="D18" i="3"/>
  <c r="D28" i="3"/>
  <c r="D38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B8" i="2"/>
  <c r="G214" i="7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J9" i="8"/>
  <c r="C9" i="8"/>
  <c r="J10" i="8"/>
  <c r="J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C10" i="8"/>
  <c r="J11" i="8"/>
  <c r="C11" i="8"/>
  <c r="C12" i="8"/>
  <c r="J13" i="8"/>
  <c r="C13" i="8"/>
  <c r="C14" i="8"/>
  <c r="J12" i="8"/>
  <c r="J14" i="8"/>
  <c r="J15" i="8"/>
  <c r="C15" i="8"/>
  <c r="C16" i="8"/>
  <c r="J16" i="8"/>
  <c r="C17" i="8"/>
  <c r="J17" i="8"/>
  <c r="C18" i="8"/>
  <c r="J18" i="8"/>
  <c r="C19" i="8"/>
  <c r="J19" i="8"/>
  <c r="C20" i="8"/>
  <c r="J20" i="8"/>
  <c r="C21" i="8"/>
  <c r="J21" i="8"/>
  <c r="C22" i="8"/>
  <c r="J22" i="8"/>
  <c r="C23" i="8"/>
  <c r="J23" i="8"/>
  <c r="C24" i="8"/>
  <c r="J24" i="8"/>
  <c r="C25" i="8"/>
  <c r="J25" i="8"/>
  <c r="C26" i="8"/>
  <c r="J26" i="8"/>
  <c r="C27" i="8"/>
  <c r="J27" i="8"/>
  <c r="C28" i="8"/>
  <c r="J28" i="8"/>
  <c r="J29" i="8"/>
  <c r="C29" i="8"/>
  <c r="C30" i="8"/>
  <c r="J30" i="8"/>
  <c r="J31" i="8"/>
  <c r="C31" i="8"/>
  <c r="C32" i="8"/>
  <c r="J32" i="8"/>
  <c r="J33" i="8"/>
  <c r="C33" i="8"/>
  <c r="C34" i="8"/>
  <c r="J34" i="8"/>
  <c r="J35" i="8"/>
  <c r="C35" i="8"/>
  <c r="C36" i="8"/>
  <c r="J36" i="8"/>
  <c r="J37" i="8"/>
  <c r="C37" i="8"/>
  <c r="C38" i="8"/>
  <c r="J38" i="8"/>
  <c r="J39" i="8"/>
  <c r="C39" i="8"/>
  <c r="C40" i="8"/>
  <c r="C41" i="8"/>
  <c r="C42" i="8"/>
  <c r="J40" i="8"/>
  <c r="J41" i="8"/>
  <c r="J42" i="8"/>
</calcChain>
</file>

<file path=xl/sharedStrings.xml><?xml version="1.0" encoding="utf-8"?>
<sst xmlns="http://schemas.openxmlformats.org/spreadsheetml/2006/main" count="7015" uniqueCount="491">
  <si>
    <t>Country</t>
  </si>
  <si>
    <t>Year</t>
  </si>
  <si>
    <t>http://iresearch.worldbank.org/PovcalNet/index.htm?4</t>
  </si>
  <si>
    <t>Region</t>
  </si>
  <si>
    <t>East Asia and Pacific</t>
  </si>
  <si>
    <t>Cambodia</t>
  </si>
  <si>
    <t>Source</t>
  </si>
  <si>
    <t>China</t>
  </si>
  <si>
    <t>Survey included</t>
  </si>
  <si>
    <t>Fiji</t>
  </si>
  <si>
    <t>Indonesia</t>
  </si>
  <si>
    <t>Lao PDR</t>
  </si>
  <si>
    <t>Malaysia</t>
  </si>
  <si>
    <t>Micronesia</t>
  </si>
  <si>
    <t>Papua New Guinea</t>
  </si>
  <si>
    <t>Philippines</t>
  </si>
  <si>
    <t>Thailand</t>
  </si>
  <si>
    <t>Timor-Leste</t>
  </si>
  <si>
    <t>Vietnam</t>
  </si>
  <si>
    <t>Europe and Central Asia</t>
  </si>
  <si>
    <t>Albania</t>
  </si>
  <si>
    <t>Armenia</t>
  </si>
  <si>
    <t>Azerbaijan</t>
  </si>
  <si>
    <t>Belarus</t>
  </si>
  <si>
    <t>Bosnia and Herzegovina</t>
  </si>
  <si>
    <t>Bulgaria</t>
  </si>
  <si>
    <t>Croatia</t>
  </si>
  <si>
    <t>Czech Republic</t>
  </si>
  <si>
    <t>Estonia</t>
  </si>
  <si>
    <t>Georgia</t>
  </si>
  <si>
    <t>Hungary</t>
  </si>
  <si>
    <t>Kazakhstan</t>
  </si>
  <si>
    <t>Kyrgyz Republic</t>
  </si>
  <si>
    <t>Latvia</t>
  </si>
  <si>
    <t>Lithuania</t>
  </si>
  <si>
    <t>Macedonia</t>
  </si>
  <si>
    <t>Moldova</t>
  </si>
  <si>
    <t>Montenegro</t>
  </si>
  <si>
    <t>Poland</t>
  </si>
  <si>
    <t>Romania</t>
  </si>
  <si>
    <t>Russian Federation</t>
  </si>
  <si>
    <t>Serbia</t>
  </si>
  <si>
    <t>Slovak Republic</t>
  </si>
  <si>
    <t>Tajikistan</t>
  </si>
  <si>
    <t>Slovenia</t>
  </si>
  <si>
    <t>Turkey</t>
  </si>
  <si>
    <t>Turkmenistan</t>
  </si>
  <si>
    <t>Ukraine</t>
  </si>
  <si>
    <t>Argentina</t>
  </si>
  <si>
    <t>Latin America and the Caribbean</t>
  </si>
  <si>
    <t>Belize</t>
  </si>
  <si>
    <t>Bolivia</t>
  </si>
  <si>
    <t>Brazil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</si>
  <si>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</si>
  <si>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</si>
  <si>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</si>
  <si>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</si>
  <si>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</si>
  <si>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</si>
  <si>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</si>
  <si>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</si>
  <si>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</si>
  <si>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</si>
  <si>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</si>
  <si>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</si>
  <si>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</si>
  <si>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</si>
  <si>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</si>
  <si>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</si>
  <si>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</si>
  <si>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Suriname</t>
  </si>
  <si>
    <t>Trinidad and Tobago</t>
  </si>
  <si>
    <t>Uruguay</t>
  </si>
  <si>
    <t>Venezuela</t>
  </si>
  <si>
    <t>Middle East and North Africa</t>
  </si>
  <si>
    <t>Algeria</t>
  </si>
  <si>
    <t>Djibouti</t>
  </si>
  <si>
    <t>Egypt</t>
  </si>
  <si>
    <t>Iran</t>
  </si>
  <si>
    <t>Iraq</t>
  </si>
  <si>
    <t>Jordan</t>
  </si>
  <si>
    <t>Morocco</t>
  </si>
  <si>
    <t>Syria</t>
  </si>
  <si>
    <t>Tunisia</t>
  </si>
  <si>
    <t>West Bank and Gaza</t>
  </si>
  <si>
    <t>Yemen</t>
  </si>
  <si>
    <t>Bangladesh</t>
  </si>
  <si>
    <t>South Asia</t>
  </si>
  <si>
    <t>Bhutan</t>
  </si>
  <si>
    <t>India</t>
  </si>
  <si>
    <t>Maldives</t>
  </si>
  <si>
    <t>Nepal</t>
  </si>
  <si>
    <t>Pakistan</t>
  </si>
  <si>
    <t>Sri Lanka</t>
  </si>
  <si>
    <t>Angola</t>
  </si>
  <si>
    <t>Sub-Saharan Africa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</si>
  <si>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</si>
  <si>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</si>
  <si>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</si>
  <si>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</si>
  <si>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</si>
  <si>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</si>
  <si>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</si>
  <si>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</si>
  <si>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</si>
  <si>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Dem. Rep</t>
  </si>
  <si>
    <t>Congo, Rep</t>
  </si>
  <si>
    <t>Cote D'Ivoire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</si>
  <si>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</si>
  <si>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</si>
  <si>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</si>
  <si>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</si>
  <si>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</si>
  <si>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</si>
  <si>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</si>
  <si>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</si>
  <si>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</si>
  <si>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</si>
  <si>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</si>
  <si>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</si>
  <si>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</si>
  <si>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</si>
  <si>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</si>
  <si>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</si>
  <si>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</si>
  <si>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</si>
  <si>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</si>
  <si>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</si>
  <si>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</si>
  <si>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</si>
  <si>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South Africa</t>
  </si>
  <si>
    <t>Sudan</t>
  </si>
  <si>
    <t>Swaziland</t>
  </si>
  <si>
    <t>Tanzania</t>
  </si>
  <si>
    <t>Togo</t>
  </si>
  <si>
    <t>Uganda</t>
  </si>
  <si>
    <t>Zambia</t>
  </si>
  <si>
    <t>Overview</t>
  </si>
  <si>
    <t>Sources</t>
  </si>
  <si>
    <t>Legend</t>
  </si>
  <si>
    <t>Key Result</t>
  </si>
  <si>
    <t>Input</t>
  </si>
  <si>
    <t>Kind of survey</t>
  </si>
  <si>
    <t>Income survey analysis</t>
  </si>
  <si>
    <t>Calculation result</t>
  </si>
  <si>
    <t>Number of Income surveys</t>
  </si>
  <si>
    <t>Povcal</t>
  </si>
  <si>
    <t xml:space="preserve">First time </t>
  </si>
  <si>
    <t>Country first time</t>
  </si>
  <si>
    <t>Number surveys in this country</t>
  </si>
  <si>
    <t>Countries with income surveys</t>
  </si>
  <si>
    <t>MICS</t>
  </si>
  <si>
    <t>Number of Multidimensional surveys</t>
  </si>
  <si>
    <t>http://www.childinfo.org/mics_available.html</t>
  </si>
  <si>
    <t>Central and Eastern Europe and Commonwealth of Independent States</t>
  </si>
  <si>
    <t>Bosnia and Herzegovina (Roma Settlements)</t>
  </si>
  <si>
    <t>Kyrgyzstan</t>
  </si>
  <si>
    <t>Uzbekistan</t>
  </si>
  <si>
    <t>East Asia and the Pacific</t>
  </si>
  <si>
    <t>Korea, Democratic People's Republic of</t>
  </si>
  <si>
    <t>Lao People's Democratic Republic</t>
  </si>
  <si>
    <t>Mongolia</t>
  </si>
  <si>
    <t>Myanmar</t>
  </si>
  <si>
    <t>Vanuatu</t>
  </si>
  <si>
    <t>Viet Nam</t>
  </si>
  <si>
    <t>Eastern and Southern Africa</t>
  </si>
  <si>
    <t>Somalia</t>
  </si>
  <si>
    <t>Zimbabwe</t>
  </si>
  <si>
    <t>Lebanon</t>
  </si>
  <si>
    <t>Syrian Arab Republic</t>
  </si>
  <si>
    <t>Palestinians in Syrian Arab Republic</t>
  </si>
  <si>
    <t>Afghanistan</t>
  </si>
  <si>
    <t>The Americas and Caribbean</t>
  </si>
  <si>
    <t>Cuba</t>
  </si>
  <si>
    <t>West and Central Africa</t>
  </si>
  <si>
    <t>Côte d'Ivoire</t>
  </si>
  <si>
    <t>Congo, Democratic Republic of the</t>
  </si>
  <si>
    <t>Equatorial Guinea</t>
  </si>
  <si>
    <t>Assumptions</t>
  </si>
  <si>
    <t>Mics round</t>
  </si>
  <si>
    <t>Year (end of fieldwork)</t>
  </si>
  <si>
    <t>Year (start of fieldwork)</t>
  </si>
  <si>
    <t>Surveys counted</t>
  </si>
  <si>
    <t>Only counts MIC surveys where final reports or datasets exist</t>
  </si>
  <si>
    <t>MICS Data</t>
  </si>
  <si>
    <t>Income survey data</t>
  </si>
  <si>
    <t>Yugoslavia</t>
  </si>
  <si>
    <t>Eastern province</t>
  </si>
  <si>
    <t>Comment</t>
  </si>
  <si>
    <t>Mombasa informal settlements</t>
  </si>
  <si>
    <t>Roman settlements</t>
  </si>
  <si>
    <t>Selected districts of Papua</t>
  </si>
  <si>
    <t>Selected districts of West Papua</t>
  </si>
  <si>
    <t>Palestinians</t>
  </si>
  <si>
    <t>Roman Settlements</t>
  </si>
  <si>
    <t>Mid and far Western regions</t>
  </si>
  <si>
    <t>Balochistan</t>
  </si>
  <si>
    <t>Punjab</t>
  </si>
  <si>
    <t>District</t>
  </si>
  <si>
    <t>Accra</t>
  </si>
  <si>
    <t>LSMS Data</t>
  </si>
  <si>
    <t>http://iresearch.worldbank.org/lsms/lsmssurveyFinder.htm</t>
  </si>
  <si>
    <t>Employment and Welfare Survey</t>
  </si>
  <si>
    <t>Living Standards Measurement Survey</t>
  </si>
  <si>
    <t>Living Standards Measurement Survey Wave 2 Panel</t>
  </si>
  <si>
    <t>Living Standards Measurement Survey Wave 3 Panel</t>
  </si>
  <si>
    <t>Household Budget Survey</t>
  </si>
  <si>
    <t>Survey of Living Conditions</t>
  </si>
  <si>
    <t>Living in Bosnia and Herzegovina Survey</t>
  </si>
  <si>
    <t>Integrated Household Survey</t>
  </si>
  <si>
    <t>Multitopic Household Survey</t>
  </si>
  <si>
    <t>Heibei and Liaoning Living Standards Survey</t>
  </si>
  <si>
    <t>Enquête Permanente Auprès des Ménages</t>
  </si>
  <si>
    <t>Encuesta Condiciones de Vida</t>
  </si>
  <si>
    <t>Rural Socioeconomic Survey</t>
  </si>
  <si>
    <t>Living Standards Survey</t>
  </si>
  <si>
    <t>Encuesta Nacional sobre Condiciones de Vida</t>
  </si>
  <si>
    <t>Uttar Pradesh and Bihar Survey of Living Condition...</t>
  </si>
  <si>
    <t>Iraq Household Socio-Economic Survey</t>
  </si>
  <si>
    <t>Second Integrated Household Survey</t>
  </si>
  <si>
    <t>Third Integrated Household Survey</t>
  </si>
  <si>
    <t>Enquête Nationale sur le Niveau de Vie des Ménages...</t>
  </si>
  <si>
    <t>Encuesta Nacional de Hogares sobre Medición de Niv...</t>
  </si>
  <si>
    <t>Encuesta Nacional de Hogares sobre Medicion de Niv...</t>
  </si>
  <si>
    <t>Enquête National sur les Conditions de Vie des Mén...</t>
  </si>
  <si>
    <t>GHS Panel Survey</t>
  </si>
  <si>
    <t>Encuesta de Niveles de Vida</t>
  </si>
  <si>
    <t>Papua Guinea</t>
  </si>
  <si>
    <t>Household Survey</t>
  </si>
  <si>
    <t>Encuesta de Hogares sobre Medición de Niveles de V...</t>
  </si>
  <si>
    <t>Kosovo Living Standards Measurement Survey</t>
  </si>
  <si>
    <t>Kagera Health and Development Survey Wave 1</t>
  </si>
  <si>
    <t>Kagera Health and Development Survey Wave 2</t>
  </si>
  <si>
    <t>Human Resource Development Survey</t>
  </si>
  <si>
    <t>Kagera Health and Development Survey Wave 3</t>
  </si>
  <si>
    <t>Kagera Health and Development Survey Wave 4</t>
  </si>
  <si>
    <t>Kagera Health and Development Survey Wave 5</t>
  </si>
  <si>
    <t>National Panel Survey</t>
  </si>
  <si>
    <t>Kagera Health and Development Survey Wave 6</t>
  </si>
  <si>
    <t>Survey of Living Standards</t>
  </si>
  <si>
    <t>Household Living Standards Survey</t>
  </si>
  <si>
    <t>Survey kind</t>
  </si>
  <si>
    <t>Assumption</t>
  </si>
  <si>
    <t>Only use unrestricted surveys</t>
  </si>
  <si>
    <t>LSMS</t>
  </si>
  <si>
    <t>First time country name</t>
  </si>
  <si>
    <t>Côte d’Ivoire</t>
  </si>
  <si>
    <t xml:space="preserve">Dominican Rep </t>
  </si>
  <si>
    <t>Timor Leste</t>
  </si>
  <si>
    <t>Overall Number of Surveys</t>
  </si>
  <si>
    <t>DHS 5, Standard</t>
  </si>
  <si>
    <t>DHS 1, Standard</t>
  </si>
  <si>
    <t>DHS 3, Standard</t>
  </si>
  <si>
    <t>DHS 4, Standard</t>
  </si>
  <si>
    <t>DHS 2, Standard</t>
  </si>
  <si>
    <t>DHS 5, HIV SPA</t>
  </si>
  <si>
    <t>DHS 5, Standard AIS</t>
  </si>
  <si>
    <t>DHS 3, In depth</t>
  </si>
  <si>
    <t>DHS 5, Malaria Indicator Survey</t>
  </si>
  <si>
    <t>DHS 5, MCH SPA</t>
  </si>
  <si>
    <t>DHS 6, Standard</t>
  </si>
  <si>
    <t>DHS 4, Standard AIS</t>
  </si>
  <si>
    <t>DHS 3, KAP</t>
  </si>
  <si>
    <t xml:space="preserve">Samoa </t>
  </si>
  <si>
    <t>DHS 5, Interim</t>
  </si>
  <si>
    <t>DHS 4, MCH SPA</t>
  </si>
  <si>
    <t>DHS 5, HIV/MCH SPA</t>
  </si>
  <si>
    <t>DHS 5, Continuous</t>
  </si>
  <si>
    <t>DHS 1, Experimental</t>
  </si>
  <si>
    <t>DHS 1, In-Depth</t>
  </si>
  <si>
    <t>DHS 6, HIV/MCH SPA</t>
  </si>
  <si>
    <t>DHS Other, Special</t>
  </si>
  <si>
    <t>DHS Other, Standard</t>
  </si>
  <si>
    <t>DHS 6, Special</t>
  </si>
  <si>
    <t xml:space="preserve">Liberia </t>
  </si>
  <si>
    <t>HIV/MCH SPA</t>
  </si>
  <si>
    <t>DHS 4, Special</t>
  </si>
  <si>
    <t>DHS 1, Special</t>
  </si>
  <si>
    <t xml:space="preserve">Haiti </t>
  </si>
  <si>
    <t>DHS 4, Interim</t>
  </si>
  <si>
    <t>DHS 3, MCH SPA</t>
  </si>
  <si>
    <t>DHS</t>
  </si>
  <si>
    <t>DHS 5, Special</t>
  </si>
  <si>
    <t>Eritrea</t>
  </si>
  <si>
    <t>DHS 3, Interim</t>
  </si>
  <si>
    <t>Congo Brazzaville</t>
  </si>
  <si>
    <t>Central African Republic (94/95)</t>
  </si>
  <si>
    <t>DHS Data</t>
  </si>
  <si>
    <t>http://www.measuredhs.com/What-We-Do/survey-search.cfm?pgtype=main&amp;SrvyTp=year</t>
  </si>
  <si>
    <t>Comments</t>
  </si>
  <si>
    <t>Ondo state</t>
  </si>
  <si>
    <t>Congo</t>
  </si>
  <si>
    <t>Brazaville</t>
  </si>
  <si>
    <t>DHS, Continuous</t>
  </si>
  <si>
    <t>DHS, Standard</t>
  </si>
  <si>
    <t>MIS</t>
  </si>
  <si>
    <t>Special</t>
  </si>
  <si>
    <t>Lao</t>
  </si>
  <si>
    <t>Brazzaville</t>
  </si>
  <si>
    <t>Standard AIS</t>
  </si>
  <si>
    <t>Kyrgz Republic</t>
  </si>
  <si>
    <t>In Depth</t>
  </si>
  <si>
    <t>CWIQ Data</t>
  </si>
  <si>
    <t>http://catalog.ihsn.org/index.php/catalog</t>
  </si>
  <si>
    <t>CWIQ</t>
  </si>
  <si>
    <t>Baseline Survey</t>
  </si>
  <si>
    <t>Survey on Poverty and Welfare</t>
  </si>
  <si>
    <t xml:space="preserve">Include all surveys listed in IHSN catalogue under "CWIQ" </t>
  </si>
  <si>
    <t>Subsaharan Africa</t>
  </si>
  <si>
    <t>SUM</t>
  </si>
  <si>
    <t>Multidimensional Survey Analysis</t>
  </si>
  <si>
    <t>Survey type</t>
  </si>
  <si>
    <t>Counting</t>
  </si>
  <si>
    <t>First time survey</t>
  </si>
  <si>
    <t>Number of MD surveys in year</t>
  </si>
  <si>
    <t>Countries with any MD survey  for the first time</t>
  </si>
  <si>
    <t>Number of MD surveys</t>
  </si>
  <si>
    <t>Countries with any MD survey</t>
  </si>
  <si>
    <t>Total Monetary Surveys</t>
  </si>
  <si>
    <t>Countries with Monetary  Surveys</t>
  </si>
  <si>
    <t>Countries with Monetary Survey</t>
  </si>
  <si>
    <t>Occupied Palestinian Territories</t>
  </si>
  <si>
    <t>South Sudan</t>
  </si>
  <si>
    <t>Name of survey</t>
  </si>
  <si>
    <t>Algerian Family Healths Survey (AFHS)</t>
  </si>
  <si>
    <t>Syrian Family Health Survey (SFHS)</t>
  </si>
  <si>
    <t>Djibouti Family Health Survey (DFHS)</t>
  </si>
  <si>
    <t>PAPFAM available from 2002</t>
  </si>
  <si>
    <t>Moroccan Population Family Health Survey (MPFHS)</t>
  </si>
  <si>
    <t>Palestinian Family Health Survey (PFHS)</t>
  </si>
  <si>
    <t>Yemen Family Health Survey (YFHS)</t>
  </si>
  <si>
    <t>PAPFAM survey available from 2003</t>
  </si>
  <si>
    <t>Lebanese Family Health Survey (LFHS)</t>
  </si>
  <si>
    <t>Tunisian Family Health Survey (TFHS)</t>
  </si>
  <si>
    <t>National Libyan Family Health Survey</t>
  </si>
  <si>
    <t>Libya</t>
  </si>
  <si>
    <t>Sudan Household Health Survey (SHHS)</t>
  </si>
  <si>
    <t>Oman</t>
  </si>
  <si>
    <t>There are records of a Oman MICS 2011 but it is not available at MICS webpage</t>
  </si>
  <si>
    <t>Barbados</t>
  </si>
  <si>
    <t>Qatar</t>
  </si>
  <si>
    <t>There is a previous WHS 2002/03</t>
  </si>
  <si>
    <t>PAPFAM Data</t>
  </si>
  <si>
    <t xml:space="preserve">Counts surveys acknowledged on the webpage. </t>
  </si>
  <si>
    <t>www.papfam.org/</t>
  </si>
  <si>
    <t>http://www.who.int/healthinfo/survey/en/</t>
  </si>
  <si>
    <t>Mauritius</t>
  </si>
  <si>
    <t>United Arab Emirates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</si>
  <si>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</si>
  <si>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</si>
  <si>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</si>
  <si>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</si>
  <si>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</si>
  <si>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</si>
  <si>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</si>
  <si>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</si>
  <si>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Israel</t>
  </si>
  <si>
    <t>Italy</t>
  </si>
  <si>
    <t>Luxembourg</t>
  </si>
  <si>
    <t>Netherlands</t>
  </si>
  <si>
    <t>Norway</t>
  </si>
  <si>
    <t>Portugal</t>
  </si>
  <si>
    <t>Slovakia</t>
  </si>
  <si>
    <t>Spain</t>
  </si>
  <si>
    <t>Sweden</t>
  </si>
  <si>
    <t>United Kingdom</t>
  </si>
  <si>
    <t>Australia</t>
  </si>
  <si>
    <t>World Health Survey (WHS) Data</t>
  </si>
  <si>
    <t>WHS</t>
  </si>
  <si>
    <t>Kosovo</t>
  </si>
  <si>
    <t>Transnistria</t>
  </si>
  <si>
    <t>Nyanza Province</t>
  </si>
  <si>
    <t>Northeast Zone</t>
  </si>
  <si>
    <t>Somaliland</t>
  </si>
  <si>
    <t>Only counts MIC surveys where final reports or datasets exist or surveys which fieldwork was carried out before or in 2013.</t>
  </si>
  <si>
    <t>Khuvsgul Aimag</t>
  </si>
  <si>
    <t>Nalaikh District</t>
  </si>
  <si>
    <t>(Bungoma, Kakamega, and Turkana counties)</t>
  </si>
  <si>
    <t>Sub-national</t>
  </si>
  <si>
    <t>Madgascar</t>
  </si>
  <si>
    <t>PAPFAM</t>
  </si>
  <si>
    <t>Antigua and Barbuda</t>
  </si>
  <si>
    <t>2005-2006</t>
  </si>
  <si>
    <t>Survey of Living Conditions and Household Budgets</t>
  </si>
  <si>
    <t>Living Standard Measurement Survey</t>
  </si>
  <si>
    <t xml:space="preserve">Bhutan Living Standards Survey (BLSS) </t>
  </si>
  <si>
    <t>Bosnia-Herzegovina</t>
  </si>
  <si>
    <t>Living Standards Measurement Survey Wave 1 Panel</t>
  </si>
  <si>
    <t>Living in Bosnia and Herzegovina Survey Wave 2 Panel</t>
  </si>
  <si>
    <t>Living in Bosnia and Herzegovina Survey Wave 3 Panel</t>
  </si>
  <si>
    <t>Living in Bosnia and Herzegovina Survey Wave 4 Panel</t>
  </si>
  <si>
    <t>1996-1997</t>
  </si>
  <si>
    <t>1995-97</t>
  </si>
  <si>
    <t>1987-88</t>
  </si>
  <si>
    <t>1988-89</t>
  </si>
  <si>
    <t>1991-92</t>
  </si>
  <si>
    <t>1998-99</t>
  </si>
  <si>
    <t>1992-93</t>
  </si>
  <si>
    <t>1997-98</t>
  </si>
  <si>
    <t>2006-07</t>
  </si>
  <si>
    <t>1989-1</t>
  </si>
  <si>
    <t>1989-2</t>
  </si>
  <si>
    <t>Integrated Household Budget Survey</t>
  </si>
  <si>
    <t>2004-05</t>
  </si>
  <si>
    <t>2010-11</t>
  </si>
  <si>
    <t>2002-2003</t>
  </si>
  <si>
    <t>Integrated Household Income and Expenditure Survey with Living Standards Measurement Survey</t>
  </si>
  <si>
    <t>Enquête Nationale sur le Niveau de Vie des Ménages</t>
  </si>
  <si>
    <t>1995-96</t>
  </si>
  <si>
    <t>2003-04</t>
  </si>
  <si>
    <t>Encuesta Nacional de Hogares sobre Medicion de Nivel de Vida (EMNV)</t>
  </si>
  <si>
    <t>Enquête National sur les Conditions de Vie des Ménages et l'Agriculture</t>
  </si>
  <si>
    <t>2012-13</t>
  </si>
  <si>
    <t>Peru (only Lima)</t>
  </si>
  <si>
    <t>Encuesta de Hogares sobre Medición de Niveles de V</t>
  </si>
  <si>
    <t xml:space="preserve">Peru </t>
  </si>
  <si>
    <t>Encuesta Nacional de Hogares sobre Medición de Niv</t>
  </si>
  <si>
    <t>1994-95</t>
  </si>
  <si>
    <t xml:space="preserve">Serbia </t>
  </si>
  <si>
    <t>Serbia and Montenegro</t>
  </si>
  <si>
    <t>2007-08</t>
  </si>
  <si>
    <t>2009-10</t>
  </si>
  <si>
    <t>2011-12</t>
  </si>
  <si>
    <t xml:space="preserve">Household Living Standards Survey </t>
  </si>
  <si>
    <t>Survey of Basic Indicators of Well-Being</t>
  </si>
  <si>
    <t>CWIQ, Poverty Survey</t>
  </si>
  <si>
    <t>Survey of Household Living Conditions:CWIQ</t>
  </si>
  <si>
    <t>Household Survey for Poverty Assessment:CWIQ</t>
  </si>
  <si>
    <t>Enquête Gabonaise pour l'Evaluation et le Suivi de la Pauvreté: CWIQ</t>
  </si>
  <si>
    <t>Grenada</t>
  </si>
  <si>
    <t>Light Survey for Poverty Assessment: CWIQ</t>
  </si>
  <si>
    <t>Welfare Monitoring Survey:CWIQ, First Round</t>
  </si>
  <si>
    <t>Welfare Monitary Survey</t>
  </si>
  <si>
    <t>CWIQ: Baseline</t>
  </si>
  <si>
    <t>Welfare Monitoring Survey:CWIQ</t>
  </si>
  <si>
    <t>Welfare Monitoring Survey:CWIQ, Third Round</t>
  </si>
  <si>
    <t>Welfare Monitoring Survey:CWIQ, Fourth Round</t>
  </si>
  <si>
    <t>Welfare Monitoring Survey:CWIQ, Fifth Round</t>
  </si>
  <si>
    <t>Welfare Monitoring Survey 2011</t>
  </si>
  <si>
    <t>Enquête Légère Intégrée auprès des Ménages:CWIQ</t>
  </si>
  <si>
    <t>Enquête Permanente sur les Conditions de Vie des Ménages:CWIQ</t>
  </si>
  <si>
    <t>2000-01</t>
  </si>
  <si>
    <t>Baseline Survey on Poverty, Welfare and Services in Kagera Rural Districts</t>
  </si>
  <si>
    <t>Baseline Survey on Poverty, Welfare and Services in Rural Shinyanga Districts</t>
  </si>
  <si>
    <t>Baseline Survey on Poverty, Welfare and Services in Karatu, Kondoa, Mbulu, and Monduli Districts</t>
  </si>
  <si>
    <t>Survey on Poverty, Welfare and Services</t>
  </si>
  <si>
    <t>IS</t>
  </si>
  <si>
    <t>IS: Social and Living Standards Measurement Survey</t>
  </si>
  <si>
    <t>2001-02</t>
  </si>
  <si>
    <t>1996-97</t>
  </si>
  <si>
    <t>ILCS</t>
  </si>
  <si>
    <t>Integrated Survey (non-LSMS) / Integrated Living Conditions Survey (ILCS) Data</t>
  </si>
  <si>
    <t xml:space="preserve">Congo, Democratic Republic of the </t>
  </si>
  <si>
    <t>Not available online yet.</t>
  </si>
  <si>
    <t>PAPFAM MICS available from 2007</t>
  </si>
  <si>
    <t>CWIQ Poverty Survey</t>
  </si>
  <si>
    <t>WHS available</t>
  </si>
  <si>
    <t>Congo, DR</t>
  </si>
  <si>
    <t>DHS 6</t>
  </si>
  <si>
    <t>MICS 2015 coming up</t>
  </si>
  <si>
    <t>ILCS or IS</t>
  </si>
  <si>
    <t>Number of countries with survey for the first time (either MICS or DHS or LHMS or PAPFAM or ILCS/IS (separately)</t>
  </si>
  <si>
    <t>Number of countries ever had a survey  (either MICS or DHS or LHMS or PAPFAM or ILCS/IS (separately)</t>
  </si>
  <si>
    <t>Data listed on website</t>
  </si>
  <si>
    <t>Lybia</t>
  </si>
  <si>
    <t>Occupied Palestinian Territory</t>
  </si>
  <si>
    <t>Northeastern Territories</t>
  </si>
  <si>
    <t>WHO preivously</t>
  </si>
  <si>
    <t>Arab States</t>
  </si>
  <si>
    <t>Latin America and Caribbean</t>
  </si>
  <si>
    <t>Count of Country</t>
  </si>
  <si>
    <t>Row Labels</t>
  </si>
  <si>
    <t>Grand Total</t>
  </si>
  <si>
    <t>Column Labels</t>
  </si>
  <si>
    <t>(All)</t>
  </si>
  <si>
    <t>Kosovo (UNSCR 1244/99)</t>
  </si>
  <si>
    <t>Kosovo (settlements)</t>
  </si>
  <si>
    <t>Count of Survey type</t>
  </si>
  <si>
    <t>First survey</t>
  </si>
  <si>
    <t>Last survey</t>
  </si>
  <si>
    <t>Total nb of countries  with country-specific MD survey data</t>
  </si>
  <si>
    <t>Nb of countries with at least 2 MD surveys</t>
  </si>
  <si>
    <t>Nb countries with at least 3 MD surveys</t>
  </si>
  <si>
    <t>Nb of countries with more than 3 waves of MD surveys</t>
  </si>
  <si>
    <t>?</t>
  </si>
  <si>
    <t>DHS 7, Continuous</t>
  </si>
  <si>
    <t>DHS 7, Standard</t>
  </si>
  <si>
    <t>Socioeconomic Survey</t>
  </si>
  <si>
    <t>Household Socio-economic Survey</t>
  </si>
  <si>
    <t>l'Enquête Nationale sur les Conditions de Vie des Ménages et l'Agriculture</t>
  </si>
  <si>
    <t>Roma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</si>
</sst>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4F81BD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0"/>
      <color theme="1"/>
      <name val="Arial"/>
      <family val="2"/>
    </font>
    <font>
      <sz val="10"/>
      <color theme="8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i/>
      <sz val="12"/>
      <color theme="0"/>
      <name val="Garamond"/>
      <family val="1"/>
    </font>
    <font>
      <i/>
      <sz val="12"/>
      <color theme="1"/>
      <name val="Garamond"/>
      <family val="1"/>
    </font>
    <font>
      <b/>
      <sz val="12"/>
      <color indexed="10"/>
      <name val="Helvetica Neue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 style="thin">
        <color indexed="13"/>
      </top>
      <bottom/>
      <diagonal/>
    </border>
  </borders>
  <cellStyleXfs count="6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7" fillId="0" borderId="2" xfId="0" applyFont="1" applyFill="1" applyBorder="1"/>
    <xf numFmtId="0" fontId="0" fillId="0" borderId="3" xfId="0" applyBorder="1"/>
    <xf numFmtId="0" fontId="5" fillId="0" borderId="4" xfId="0" applyFont="1" applyBorder="1"/>
    <xf numFmtId="0" fontId="0" fillId="0" borderId="5" xfId="0" applyBorder="1"/>
    <xf numFmtId="0" fontId="5" fillId="0" borderId="1" xfId="0" applyFont="1" applyBorder="1"/>
    <xf numFmtId="0" fontId="8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7" fillId="0" borderId="0" xfId="0" applyFont="1"/>
    <xf numFmtId="0" fontId="1" fillId="2" borderId="0" xfId="0" applyFont="1" applyFill="1" applyAlignment="1">
      <alignment horizontal="left" wrapText="1"/>
    </xf>
    <xf numFmtId="0" fontId="9" fillId="0" borderId="0" xfId="0" applyFont="1"/>
    <xf numFmtId="0" fontId="0" fillId="0" borderId="0" xfId="0" applyBorder="1"/>
    <xf numFmtId="0" fontId="1" fillId="3" borderId="0" xfId="0" applyFont="1" applyFill="1"/>
    <xf numFmtId="0" fontId="1" fillId="3" borderId="6" xfId="0" applyFont="1" applyFill="1" applyBorder="1"/>
    <xf numFmtId="0" fontId="10" fillId="4" borderId="6" xfId="0" applyFont="1" applyFill="1" applyBorder="1"/>
    <xf numFmtId="0" fontId="5" fillId="0" borderId="0" xfId="0" applyFont="1" applyBorder="1"/>
    <xf numFmtId="0" fontId="0" fillId="5" borderId="0" xfId="0" applyFill="1"/>
    <xf numFmtId="0" fontId="11" fillId="0" borderId="0" xfId="0" applyFont="1"/>
    <xf numFmtId="0" fontId="10" fillId="6" borderId="0" xfId="0" applyFont="1" applyFill="1" applyAlignment="1">
      <alignment horizontal="left" wrapText="1"/>
    </xf>
    <xf numFmtId="0" fontId="0" fillId="0" borderId="0" xfId="0" applyFill="1" applyBorder="1"/>
    <xf numFmtId="0" fontId="0" fillId="0" borderId="0" xfId="0" applyFont="1" applyFill="1"/>
    <xf numFmtId="0" fontId="3" fillId="0" borderId="0" xfId="447"/>
    <xf numFmtId="0" fontId="1" fillId="0" borderId="0" xfId="0" applyFont="1" applyFill="1" applyAlignment="1">
      <alignment horizontal="left" wrapText="1"/>
    </xf>
    <xf numFmtId="0" fontId="7" fillId="0" borderId="0" xfId="0" applyFont="1" applyBorder="1"/>
    <xf numFmtId="0" fontId="0" fillId="0" borderId="0" xfId="0" applyFont="1"/>
    <xf numFmtId="0" fontId="10" fillId="0" borderId="0" xfId="0" applyFont="1"/>
    <xf numFmtId="0" fontId="0" fillId="2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4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8" fillId="0" borderId="0" xfId="0" applyFont="1"/>
    <xf numFmtId="0" fontId="0" fillId="3" borderId="0" xfId="0" applyFill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0" fillId="0" borderId="0" xfId="0" applyFill="1"/>
    <xf numFmtId="0" fontId="19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Fill="1"/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/>
    <xf numFmtId="0" fontId="0" fillId="7" borderId="0" xfId="0" applyFill="1"/>
    <xf numFmtId="0" fontId="23" fillId="0" borderId="0" xfId="0" applyFont="1"/>
    <xf numFmtId="0" fontId="0" fillId="0" borderId="0" xfId="0" applyAlignment="1">
      <alignment horizontal="left"/>
    </xf>
    <xf numFmtId="0" fontId="13" fillId="0" borderId="0" xfId="602" applyFont="1" applyFill="1"/>
    <xf numFmtId="0" fontId="0" fillId="0" borderId="0" xfId="0" applyNumberFormat="1"/>
    <xf numFmtId="0" fontId="0" fillId="0" borderId="0" xfId="0" pivotButton="1"/>
    <xf numFmtId="0" fontId="1" fillId="9" borderId="0" xfId="0" applyFont="1" applyFill="1"/>
    <xf numFmtId="0" fontId="0" fillId="0" borderId="0" xfId="0" applyAlignment="1">
      <alignment horizontal="left" indent="1"/>
    </xf>
    <xf numFmtId="0" fontId="25" fillId="0" borderId="0" xfId="0" pivotButton="1" applyFont="1" applyAlignment="1">
      <alignment wrapText="1"/>
    </xf>
    <xf numFmtId="0" fontId="25" fillId="0" borderId="0" xfId="0" pivotButton="1" applyFont="1"/>
    <xf numFmtId="0" fontId="25" fillId="0" borderId="0" xfId="0" applyFont="1"/>
    <xf numFmtId="0" fontId="26" fillId="0" borderId="0" xfId="0" applyFont="1" applyAlignment="1">
      <alignment horizontal="right"/>
    </xf>
    <xf numFmtId="0" fontId="27" fillId="11" borderId="9" xfId="0" applyFont="1" applyFill="1" applyBorder="1"/>
    <xf numFmtId="0" fontId="26" fillId="0" borderId="0" xfId="0" applyFont="1" applyAlignment="1">
      <alignment horizontal="right" wrapText="1"/>
    </xf>
    <xf numFmtId="0" fontId="27" fillId="11" borderId="9" xfId="0" applyFont="1" applyFill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0" xfId="0" applyNumberFormat="1" applyFont="1"/>
    <xf numFmtId="0" fontId="26" fillId="0" borderId="0" xfId="0" applyNumberFormat="1" applyFont="1" applyAlignment="1">
      <alignment horizontal="right"/>
    </xf>
    <xf numFmtId="0" fontId="28" fillId="0" borderId="8" xfId="0" applyNumberFormat="1" applyFont="1" applyBorder="1"/>
    <xf numFmtId="0" fontId="28" fillId="0" borderId="0" xfId="0" applyFont="1"/>
    <xf numFmtId="0" fontId="25" fillId="0" borderId="0" xfId="0" applyFont="1" applyAlignment="1">
      <alignment wrapText="1"/>
    </xf>
    <xf numFmtId="0" fontId="29" fillId="10" borderId="7" xfId="0" applyNumberFormat="1" applyFont="1" applyFill="1" applyBorder="1" applyAlignment="1">
      <alignment horizontal="center" vertical="top" wrapText="1"/>
    </xf>
    <xf numFmtId="0" fontId="29" fillId="10" borderId="7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0" fillId="7" borderId="0" xfId="0" applyFont="1" applyFill="1"/>
    <xf numFmtId="0" fontId="30" fillId="0" borderId="0" xfId="602" applyFont="1" applyFill="1"/>
    <xf numFmtId="0" fontId="5" fillId="12" borderId="0" xfId="0" applyFont="1" applyFill="1"/>
    <xf numFmtId="0" fontId="0" fillId="12" borderId="0" xfId="0" applyFill="1"/>
    <xf numFmtId="0" fontId="7" fillId="12" borderId="0" xfId="0" applyFont="1" applyFill="1"/>
    <xf numFmtId="0" fontId="15" fillId="12" borderId="0" xfId="0" applyFont="1" applyFill="1"/>
    <xf numFmtId="0" fontId="19" fillId="12" borderId="0" xfId="0" applyFont="1" applyFill="1" applyAlignment="1">
      <alignment horizontal="right" vertical="center"/>
    </xf>
    <xf numFmtId="0" fontId="5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0" fillId="12" borderId="0" xfId="0" applyFill="1" applyAlignment="1">
      <alignment horizontal="left"/>
    </xf>
    <xf numFmtId="0" fontId="0" fillId="13" borderId="0" xfId="0" applyFill="1"/>
    <xf numFmtId="0" fontId="1" fillId="12" borderId="0" xfId="0" applyFont="1" applyFill="1"/>
    <xf numFmtId="0" fontId="30" fillId="13" borderId="0" xfId="0" applyFont="1" applyFill="1"/>
    <xf numFmtId="0" fontId="0" fillId="13" borderId="0" xfId="0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14">
    <cellStyle name="Bad" xfId="602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/>
    <cellStyle name="Normal" xfId="0" builtinId="0"/>
  </cellStyles>
  <dxfs count="21">
    <dxf>
      <font>
        <name val="Garamond"/>
        <scheme val="none"/>
      </font>
    </dxf>
    <dxf>
      <font>
        <name val="Garamond"/>
        <scheme val="none"/>
      </font>
    </dxf>
    <dxf>
      <font>
        <name val="Garamond"/>
        <scheme val="none"/>
      </font>
    </dxf>
    <dxf>
      <font>
        <name val="Garamond"/>
        <scheme val="none"/>
      </font>
    </dxf>
    <dxf>
      <font>
        <name val="Garamond"/>
        <scheme val="none"/>
      </font>
    </dxf>
    <dxf>
      <font>
        <name val="Garamond"/>
        <scheme val="none"/>
      </font>
    </dxf>
    <dxf>
      <font>
        <name val="Garamond"/>
        <scheme val="none"/>
      </font>
    </dxf>
    <dxf>
      <font>
        <name val="Garamond"/>
        <scheme val="none"/>
      </font>
    </dxf>
    <dxf>
      <alignment horizontal="right" readingOrder="0"/>
    </dxf>
    <dxf>
      <alignment wrapText="1" readingOrder="0"/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662624"/>
      <color rgb="FF586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pivotCacheDefinition" Target="pivotCache/pivotCacheDefinition1.xml"/><Relationship Id="rId21" Type="http://schemas.openxmlformats.org/officeDocument/2006/relationships/pivotCacheDefinition" Target="pivotCache/pivotCacheDefinition2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chartsheet" Target="chartsheets/sheet1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>
                <a:latin typeface="Garamond" panose="02020404030301010803" pitchFamily="18" charset="0"/>
              </a:defRPr>
            </a:pPr>
            <a:r>
              <a:rPr lang="en-GB" sz="1800" b="1" i="0" baseline="0">
                <a:effectLst/>
                <a:latin typeface="Garamond" panose="02020404030301010803" pitchFamily="18" charset="0"/>
              </a:rPr>
              <a:t>Monetary Surveys </a:t>
            </a:r>
            <a:endParaRPr lang="en-GB">
              <a:effectLst/>
              <a:latin typeface="Garamond" panose="02020404030301010803" pitchFamily="18" charset="0"/>
            </a:endParaRPr>
          </a:p>
          <a:p>
            <a:pPr>
              <a:defRPr lang="en-US">
                <a:latin typeface="Garamond" panose="02020404030301010803" pitchFamily="18" charset="0"/>
              </a:defRPr>
            </a:pPr>
            <a:r>
              <a:rPr lang="en-GB" sz="1800" b="1" i="0" baseline="0">
                <a:effectLst/>
                <a:latin typeface="Garamond" panose="02020404030301010803" pitchFamily="18" charset="0"/>
              </a:rPr>
              <a:t>Total Number and Countries covered</a:t>
            </a:r>
            <a:endParaRPr lang="en-GB">
              <a:effectLst/>
              <a:latin typeface="Garamond" panose="02020404030301010803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 Analysis'!$C$7</c:f>
              <c:strCache>
                <c:ptCount val="1"/>
                <c:pt idx="0">
                  <c:v>Total Monetary Surveys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'IS Analysis'!$A$8:$A$38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'IS Analysis'!$C$8:$C$38</c:f>
              <c:numCache>
                <c:formatCode>General</c:formatCode>
                <c:ptCount val="31"/>
                <c:pt idx="0">
                  <c:v>4.0</c:v>
                </c:pt>
                <c:pt idx="1">
                  <c:v>10.0</c:v>
                </c:pt>
                <c:pt idx="2">
                  <c:v>12.0</c:v>
                </c:pt>
                <c:pt idx="3">
                  <c:v>14.0</c:v>
                </c:pt>
                <c:pt idx="4">
                  <c:v>20.0</c:v>
                </c:pt>
                <c:pt idx="5">
                  <c:v>30.0</c:v>
                </c:pt>
                <c:pt idx="6">
                  <c:v>41.0</c:v>
                </c:pt>
                <c:pt idx="7">
                  <c:v>59.0</c:v>
                </c:pt>
                <c:pt idx="8">
                  <c:v>82.0</c:v>
                </c:pt>
                <c:pt idx="9">
                  <c:v>101.0</c:v>
                </c:pt>
                <c:pt idx="10">
                  <c:v>113.0</c:v>
                </c:pt>
                <c:pt idx="11">
                  <c:v>129.0</c:v>
                </c:pt>
                <c:pt idx="12">
                  <c:v>160.0</c:v>
                </c:pt>
                <c:pt idx="13">
                  <c:v>192.0</c:v>
                </c:pt>
                <c:pt idx="14">
                  <c:v>217.0</c:v>
                </c:pt>
                <c:pt idx="15">
                  <c:v>243.0</c:v>
                </c:pt>
                <c:pt idx="16">
                  <c:v>279.0</c:v>
                </c:pt>
                <c:pt idx="17">
                  <c:v>302.0</c:v>
                </c:pt>
                <c:pt idx="18">
                  <c:v>346.0</c:v>
                </c:pt>
                <c:pt idx="19">
                  <c:v>376.0</c:v>
                </c:pt>
                <c:pt idx="20">
                  <c:v>409.0</c:v>
                </c:pt>
                <c:pt idx="21">
                  <c:v>449.0</c:v>
                </c:pt>
                <c:pt idx="22">
                  <c:v>496.0</c:v>
                </c:pt>
                <c:pt idx="23">
                  <c:v>540.0</c:v>
                </c:pt>
                <c:pt idx="24">
                  <c:v>588.0</c:v>
                </c:pt>
                <c:pt idx="25">
                  <c:v>636.0</c:v>
                </c:pt>
                <c:pt idx="26">
                  <c:v>683.0</c:v>
                </c:pt>
                <c:pt idx="27">
                  <c:v>727.0</c:v>
                </c:pt>
                <c:pt idx="28">
                  <c:v>774.0</c:v>
                </c:pt>
                <c:pt idx="29">
                  <c:v>808.0</c:v>
                </c:pt>
                <c:pt idx="30">
                  <c:v>827.0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 Analysis'!$E$7</c:f>
              <c:strCache>
                <c:ptCount val="1"/>
                <c:pt idx="0">
                  <c:v>Countries with Monetary  Surveys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'IS Analysis'!$A$8:$A$38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'IS Analysis'!$E$8:$E$38</c:f>
              <c:numCache>
                <c:formatCode>General</c:formatCode>
                <c:ptCount val="31"/>
                <c:pt idx="0">
                  <c:v>4.0</c:v>
                </c:pt>
                <c:pt idx="1">
                  <c:v>9.0</c:v>
                </c:pt>
                <c:pt idx="2">
                  <c:v>10.0</c:v>
                </c:pt>
                <c:pt idx="3">
                  <c:v>11.0</c:v>
                </c:pt>
                <c:pt idx="4">
                  <c:v>14.0</c:v>
                </c:pt>
                <c:pt idx="5">
                  <c:v>22.0</c:v>
                </c:pt>
                <c:pt idx="6">
                  <c:v>29.0</c:v>
                </c:pt>
                <c:pt idx="7">
                  <c:v>39.0</c:v>
                </c:pt>
                <c:pt idx="8">
                  <c:v>56.0</c:v>
                </c:pt>
                <c:pt idx="9">
                  <c:v>61.0</c:v>
                </c:pt>
                <c:pt idx="10">
                  <c:v>63.0</c:v>
                </c:pt>
                <c:pt idx="11">
                  <c:v>69.0</c:v>
                </c:pt>
                <c:pt idx="12">
                  <c:v>75.0</c:v>
                </c:pt>
                <c:pt idx="13">
                  <c:v>81.0</c:v>
                </c:pt>
                <c:pt idx="14">
                  <c:v>84.0</c:v>
                </c:pt>
                <c:pt idx="15">
                  <c:v>87.0</c:v>
                </c:pt>
                <c:pt idx="16">
                  <c:v>92.0</c:v>
                </c:pt>
                <c:pt idx="17">
                  <c:v>93.0</c:v>
                </c:pt>
                <c:pt idx="18">
                  <c:v>98.0</c:v>
                </c:pt>
                <c:pt idx="19">
                  <c:v>100.0</c:v>
                </c:pt>
                <c:pt idx="20">
                  <c:v>103.0</c:v>
                </c:pt>
                <c:pt idx="21">
                  <c:v>108.0</c:v>
                </c:pt>
                <c:pt idx="22">
                  <c:v>127.0</c:v>
                </c:pt>
                <c:pt idx="23">
                  <c:v>130.0</c:v>
                </c:pt>
                <c:pt idx="24">
                  <c:v>132.0</c:v>
                </c:pt>
                <c:pt idx="25">
                  <c:v>136.0</c:v>
                </c:pt>
                <c:pt idx="26">
                  <c:v>138.0</c:v>
                </c:pt>
                <c:pt idx="27">
                  <c:v>140.0</c:v>
                </c:pt>
                <c:pt idx="28">
                  <c:v>140.0</c:v>
                </c:pt>
                <c:pt idx="29">
                  <c:v>141.0</c:v>
                </c:pt>
                <c:pt idx="30">
                  <c:v>141.0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703136"/>
        <c:axId val="2107841584"/>
      </c:lineChart>
      <c:catAx>
        <c:axId val="21127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>
                <a:latin typeface="Garamond" panose="02020404030301010803" pitchFamily="18" charset="0"/>
              </a:defRPr>
            </a:pPr>
            <a:endParaRPr lang="en-US"/>
          </a:p>
        </c:txPr>
        <c:crossAx val="2107841584"/>
        <c:crosses val="autoZero"/>
        <c:auto val="1"/>
        <c:lblAlgn val="ctr"/>
        <c:lblOffset val="100"/>
        <c:noMultiLvlLbl val="0"/>
      </c:catAx>
      <c:valAx>
        <c:axId val="210784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12703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n-US" sz="110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US">
                <a:latin typeface="Garamond" panose="02020404030301010803" pitchFamily="18" charset="0"/>
              </a:defRPr>
            </a:pPr>
            <a:r>
              <a:rPr lang="de-DE">
                <a:latin typeface="Garamond" panose="02020404030301010803" pitchFamily="18" charset="0"/>
              </a:rPr>
              <a:t>Monetary  surveys</a:t>
            </a:r>
            <a:r>
              <a:rPr lang="de-DE" baseline="0">
                <a:latin typeface="Garamond" panose="02020404030301010803" pitchFamily="18" charset="0"/>
              </a:rPr>
              <a:t> per year</a:t>
            </a:r>
            <a:endParaRPr lang="de-DE">
              <a:latin typeface="Garamond" panose="02020404030301010803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 Analysis'!$B$7</c:f>
              <c:strCache>
                <c:ptCount val="1"/>
                <c:pt idx="0">
                  <c:v>Total Monetary Surveys</c:v>
                </c:pt>
              </c:strCache>
            </c:strRef>
          </c:tx>
          <c:spPr>
            <a:ln>
              <a:solidFill>
                <a:srgbClr val="586D2D"/>
              </a:solidFill>
            </a:ln>
          </c:spPr>
          <c:marker>
            <c:symbol val="none"/>
          </c:marker>
          <c:cat>
            <c:numRef>
              <c:f>'IS Analysis'!$A$8:$A$38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'IS Analysis'!$B$8:$B$38</c:f>
              <c:numCache>
                <c:formatCode>General</c:formatCode>
                <c:ptCount val="31"/>
                <c:pt idx="0">
                  <c:v>4.0</c:v>
                </c:pt>
                <c:pt idx="1">
                  <c:v>6.0</c:v>
                </c:pt>
                <c:pt idx="2">
                  <c:v>2.0</c:v>
                </c:pt>
                <c:pt idx="3">
                  <c:v>2.0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18.0</c:v>
                </c:pt>
                <c:pt idx="8">
                  <c:v>23.0</c:v>
                </c:pt>
                <c:pt idx="9">
                  <c:v>19.0</c:v>
                </c:pt>
                <c:pt idx="10">
                  <c:v>12.0</c:v>
                </c:pt>
                <c:pt idx="11">
                  <c:v>16.0</c:v>
                </c:pt>
                <c:pt idx="12">
                  <c:v>31.0</c:v>
                </c:pt>
                <c:pt idx="13">
                  <c:v>32.0</c:v>
                </c:pt>
                <c:pt idx="14">
                  <c:v>25.0</c:v>
                </c:pt>
                <c:pt idx="15">
                  <c:v>26.0</c:v>
                </c:pt>
                <c:pt idx="16">
                  <c:v>36.0</c:v>
                </c:pt>
                <c:pt idx="17">
                  <c:v>23.0</c:v>
                </c:pt>
                <c:pt idx="18">
                  <c:v>44.0</c:v>
                </c:pt>
                <c:pt idx="19">
                  <c:v>30.0</c:v>
                </c:pt>
                <c:pt idx="20">
                  <c:v>33.0</c:v>
                </c:pt>
                <c:pt idx="21">
                  <c:v>40.0</c:v>
                </c:pt>
                <c:pt idx="22">
                  <c:v>47.0</c:v>
                </c:pt>
                <c:pt idx="23">
                  <c:v>44.0</c:v>
                </c:pt>
                <c:pt idx="24">
                  <c:v>48.0</c:v>
                </c:pt>
                <c:pt idx="25">
                  <c:v>48.0</c:v>
                </c:pt>
                <c:pt idx="26">
                  <c:v>47.0</c:v>
                </c:pt>
                <c:pt idx="27">
                  <c:v>44.0</c:v>
                </c:pt>
                <c:pt idx="28">
                  <c:v>47.0</c:v>
                </c:pt>
                <c:pt idx="29">
                  <c:v>34.0</c:v>
                </c:pt>
                <c:pt idx="30">
                  <c:v>19.0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 Analysis'!$D$7</c:f>
              <c:strCache>
                <c:ptCount val="1"/>
                <c:pt idx="0">
                  <c:v>Countries with Monetary Survey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'IS Analysis'!$A$8:$A$38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'IS Analysis'!$D$8:$D$38</c:f>
              <c:numCache>
                <c:formatCode>General</c:formatCode>
                <c:ptCount val="31"/>
                <c:pt idx="0">
                  <c:v>4.0</c:v>
                </c:pt>
                <c:pt idx="1">
                  <c:v>5.0</c:v>
                </c:pt>
                <c:pt idx="2">
                  <c:v>1.0</c:v>
                </c:pt>
                <c:pt idx="3">
                  <c:v>1.0</c:v>
                </c:pt>
                <c:pt idx="4">
                  <c:v>3.0</c:v>
                </c:pt>
                <c:pt idx="5">
                  <c:v>8.0</c:v>
                </c:pt>
                <c:pt idx="6">
                  <c:v>7.0</c:v>
                </c:pt>
                <c:pt idx="7">
                  <c:v>10.0</c:v>
                </c:pt>
                <c:pt idx="8">
                  <c:v>17.0</c:v>
                </c:pt>
                <c:pt idx="9">
                  <c:v>5.0</c:v>
                </c:pt>
                <c:pt idx="10">
                  <c:v>2.0</c:v>
                </c:pt>
                <c:pt idx="11">
                  <c:v>6.0</c:v>
                </c:pt>
                <c:pt idx="12">
                  <c:v>6.0</c:v>
                </c:pt>
                <c:pt idx="13">
                  <c:v>6.0</c:v>
                </c:pt>
                <c:pt idx="14">
                  <c:v>3.0</c:v>
                </c:pt>
                <c:pt idx="15">
                  <c:v>3.0</c:v>
                </c:pt>
                <c:pt idx="16">
                  <c:v>5.0</c:v>
                </c:pt>
                <c:pt idx="17">
                  <c:v>1.0</c:v>
                </c:pt>
                <c:pt idx="18">
                  <c:v>5.0</c:v>
                </c:pt>
                <c:pt idx="19">
                  <c:v>2.0</c:v>
                </c:pt>
                <c:pt idx="20">
                  <c:v>3.0</c:v>
                </c:pt>
                <c:pt idx="21">
                  <c:v>5.0</c:v>
                </c:pt>
                <c:pt idx="22">
                  <c:v>19.0</c:v>
                </c:pt>
                <c:pt idx="23">
                  <c:v>3.0</c:v>
                </c:pt>
                <c:pt idx="24">
                  <c:v>2.0</c:v>
                </c:pt>
                <c:pt idx="25">
                  <c:v>4.0</c:v>
                </c:pt>
                <c:pt idx="26">
                  <c:v>2.0</c:v>
                </c:pt>
                <c:pt idx="27">
                  <c:v>2.0</c:v>
                </c:pt>
                <c:pt idx="28">
                  <c:v>0.0</c:v>
                </c:pt>
                <c:pt idx="29">
                  <c:v>1.0</c:v>
                </c:pt>
                <c:pt idx="3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730928"/>
        <c:axId val="2112733840"/>
      </c:lineChart>
      <c:catAx>
        <c:axId val="211273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12733840"/>
        <c:crosses val="autoZero"/>
        <c:auto val="1"/>
        <c:lblAlgn val="ctr"/>
        <c:lblOffset val="100"/>
        <c:noMultiLvlLbl val="0"/>
      </c:catAx>
      <c:valAx>
        <c:axId val="211273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12730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n-US" sz="1100">
              <a:latin typeface="Garamond" panose="02020404030301010803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Multidimensional Surveys </a:t>
            </a:r>
          </a:p>
          <a:p>
            <a:pPr>
              <a:defRPr/>
            </a:pPr>
            <a:r>
              <a:rPr lang="en-GB"/>
              <a:t>Total Number and Countries covered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'MD Analysis'!$C$7</c:f>
              <c:strCache>
                <c:ptCount val="1"/>
                <c:pt idx="0">
                  <c:v>Number of MD surveys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'MD Analysis'!$A$11:$A$42</c:f>
              <c:numCache>
                <c:formatCode>General</c:formatCode>
                <c:ptCount val="31"/>
                <c:pt idx="0">
                  <c:v>1984.0</c:v>
                </c:pt>
                <c:pt idx="1">
                  <c:v>1985.0</c:v>
                </c:pt>
                <c:pt idx="2">
                  <c:v>1986.0</c:v>
                </c:pt>
                <c:pt idx="3">
                  <c:v>1987.0</c:v>
                </c:pt>
                <c:pt idx="4">
                  <c:v>1988.0</c:v>
                </c:pt>
                <c:pt idx="5">
                  <c:v>1989.0</c:v>
                </c:pt>
                <c:pt idx="6">
                  <c:v>1990.0</c:v>
                </c:pt>
                <c:pt idx="7">
                  <c:v>1991.0</c:v>
                </c:pt>
                <c:pt idx="8">
                  <c:v>1992.0</c:v>
                </c:pt>
                <c:pt idx="9">
                  <c:v>1993.0</c:v>
                </c:pt>
                <c:pt idx="10">
                  <c:v>1994.0</c:v>
                </c:pt>
                <c:pt idx="11">
                  <c:v>1995.0</c:v>
                </c:pt>
                <c:pt idx="12">
                  <c:v>1996.0</c:v>
                </c:pt>
                <c:pt idx="13">
                  <c:v>1997.0</c:v>
                </c:pt>
                <c:pt idx="14">
                  <c:v>1998.0</c:v>
                </c:pt>
                <c:pt idx="15">
                  <c:v>1999.0</c:v>
                </c:pt>
                <c:pt idx="16">
                  <c:v>2000.0</c:v>
                </c:pt>
                <c:pt idx="17">
                  <c:v>2001.0</c:v>
                </c:pt>
                <c:pt idx="18">
                  <c:v>2002.0</c:v>
                </c:pt>
                <c:pt idx="19">
                  <c:v>2003.0</c:v>
                </c:pt>
                <c:pt idx="20">
                  <c:v>2004.0</c:v>
                </c:pt>
                <c:pt idx="21">
                  <c:v>2005.0</c:v>
                </c:pt>
                <c:pt idx="22">
                  <c:v>2006.0</c:v>
                </c:pt>
                <c:pt idx="23">
                  <c:v>2007.0</c:v>
                </c:pt>
                <c:pt idx="24">
                  <c:v>2008.0</c:v>
                </c:pt>
                <c:pt idx="25">
                  <c:v>2009.0</c:v>
                </c:pt>
                <c:pt idx="26">
                  <c:v>2010.0</c:v>
                </c:pt>
                <c:pt idx="27">
                  <c:v>2011.0</c:v>
                </c:pt>
                <c:pt idx="28">
                  <c:v>2012.0</c:v>
                </c:pt>
                <c:pt idx="29">
                  <c:v>2013.0</c:v>
                </c:pt>
                <c:pt idx="30">
                  <c:v>2014.0</c:v>
                </c:pt>
              </c:numCache>
            </c:numRef>
          </c:cat>
          <c:val>
            <c:numRef>
              <c:f>'MD Analysis'!$C$11:$C$42</c:f>
              <c:numCache>
                <c:formatCode>General</c:formatCode>
                <c:ptCount val="31"/>
                <c:pt idx="0">
                  <c:v>0.0</c:v>
                </c:pt>
                <c:pt idx="1">
                  <c:v>3.0</c:v>
                </c:pt>
                <c:pt idx="2">
                  <c:v>13.0</c:v>
                </c:pt>
                <c:pt idx="3">
                  <c:v>26.0</c:v>
                </c:pt>
                <c:pt idx="4">
                  <c:v>36.0</c:v>
                </c:pt>
                <c:pt idx="5">
                  <c:v>40.0</c:v>
                </c:pt>
                <c:pt idx="6">
                  <c:v>47.0</c:v>
                </c:pt>
                <c:pt idx="7">
                  <c:v>59.0</c:v>
                </c:pt>
                <c:pt idx="8">
                  <c:v>76.0</c:v>
                </c:pt>
                <c:pt idx="9">
                  <c:v>90.0</c:v>
                </c:pt>
                <c:pt idx="10">
                  <c:v>103.0</c:v>
                </c:pt>
                <c:pt idx="11">
                  <c:v>127.0</c:v>
                </c:pt>
                <c:pt idx="12">
                  <c:v>150.0</c:v>
                </c:pt>
                <c:pt idx="13">
                  <c:v>174.0</c:v>
                </c:pt>
                <c:pt idx="14">
                  <c:v>193.0</c:v>
                </c:pt>
                <c:pt idx="15">
                  <c:v>212.0</c:v>
                </c:pt>
                <c:pt idx="16">
                  <c:v>281.0</c:v>
                </c:pt>
                <c:pt idx="17">
                  <c:v>299.0</c:v>
                </c:pt>
                <c:pt idx="18">
                  <c:v>322.0</c:v>
                </c:pt>
                <c:pt idx="19">
                  <c:v>355.0</c:v>
                </c:pt>
                <c:pt idx="20">
                  <c:v>380.0</c:v>
                </c:pt>
                <c:pt idx="21">
                  <c:v>420.0</c:v>
                </c:pt>
                <c:pt idx="22">
                  <c:v>483.0</c:v>
                </c:pt>
                <c:pt idx="23">
                  <c:v>522.0</c:v>
                </c:pt>
                <c:pt idx="24">
                  <c:v>544.0</c:v>
                </c:pt>
                <c:pt idx="25">
                  <c:v>565.0</c:v>
                </c:pt>
                <c:pt idx="26">
                  <c:v>612.0</c:v>
                </c:pt>
                <c:pt idx="27">
                  <c:v>661.0</c:v>
                </c:pt>
                <c:pt idx="28">
                  <c:v>705.0</c:v>
                </c:pt>
                <c:pt idx="29">
                  <c:v>737.0</c:v>
                </c:pt>
                <c:pt idx="30">
                  <c:v>761.0</c:v>
                </c:pt>
              </c:numCache>
            </c:numRef>
          </c:val>
          <c:smooth val="0"/>
        </c:ser>
        <c:ser>
          <c:idx val="1"/>
          <c:order val="1"/>
          <c:tx>
            <c:v>Countries with MD surveys</c:v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'MD Analysis'!$A$11:$A$42</c:f>
              <c:numCache>
                <c:formatCode>General</c:formatCode>
                <c:ptCount val="31"/>
                <c:pt idx="0">
                  <c:v>1984.0</c:v>
                </c:pt>
                <c:pt idx="1">
                  <c:v>1985.0</c:v>
                </c:pt>
                <c:pt idx="2">
                  <c:v>1986.0</c:v>
                </c:pt>
                <c:pt idx="3">
                  <c:v>1987.0</c:v>
                </c:pt>
                <c:pt idx="4">
                  <c:v>1988.0</c:v>
                </c:pt>
                <c:pt idx="5">
                  <c:v>1989.0</c:v>
                </c:pt>
                <c:pt idx="6">
                  <c:v>1990.0</c:v>
                </c:pt>
                <c:pt idx="7">
                  <c:v>1991.0</c:v>
                </c:pt>
                <c:pt idx="8">
                  <c:v>1992.0</c:v>
                </c:pt>
                <c:pt idx="9">
                  <c:v>1993.0</c:v>
                </c:pt>
                <c:pt idx="10">
                  <c:v>1994.0</c:v>
                </c:pt>
                <c:pt idx="11">
                  <c:v>1995.0</c:v>
                </c:pt>
                <c:pt idx="12">
                  <c:v>1996.0</c:v>
                </c:pt>
                <c:pt idx="13">
                  <c:v>1997.0</c:v>
                </c:pt>
                <c:pt idx="14">
                  <c:v>1998.0</c:v>
                </c:pt>
                <c:pt idx="15">
                  <c:v>1999.0</c:v>
                </c:pt>
                <c:pt idx="16">
                  <c:v>2000.0</c:v>
                </c:pt>
                <c:pt idx="17">
                  <c:v>2001.0</c:v>
                </c:pt>
                <c:pt idx="18">
                  <c:v>2002.0</c:v>
                </c:pt>
                <c:pt idx="19">
                  <c:v>2003.0</c:v>
                </c:pt>
                <c:pt idx="20">
                  <c:v>2004.0</c:v>
                </c:pt>
                <c:pt idx="21">
                  <c:v>2005.0</c:v>
                </c:pt>
                <c:pt idx="22">
                  <c:v>2006.0</c:v>
                </c:pt>
                <c:pt idx="23">
                  <c:v>2007.0</c:v>
                </c:pt>
                <c:pt idx="24">
                  <c:v>2008.0</c:v>
                </c:pt>
                <c:pt idx="25">
                  <c:v>2009.0</c:v>
                </c:pt>
                <c:pt idx="26">
                  <c:v>2010.0</c:v>
                </c:pt>
                <c:pt idx="27">
                  <c:v>2011.0</c:v>
                </c:pt>
                <c:pt idx="28">
                  <c:v>2012.0</c:v>
                </c:pt>
                <c:pt idx="29">
                  <c:v>2013.0</c:v>
                </c:pt>
                <c:pt idx="30">
                  <c:v>2014.0</c:v>
                </c:pt>
              </c:numCache>
            </c:numRef>
          </c:cat>
          <c:val>
            <c:numRef>
              <c:f>'MD Analysis'!$H$11:$H$41</c:f>
            </c:numRef>
          </c:val>
          <c:smooth val="0"/>
        </c:ser>
        <c:ser>
          <c:idx val="2"/>
          <c:order val="2"/>
          <c:tx>
            <c:v>Countries with MD surveys</c:v>
          </c:tx>
          <c:spPr>
            <a:ln>
              <a:solidFill>
                <a:srgbClr val="662624"/>
              </a:solidFill>
              <a:prstDash val="sysDot"/>
            </a:ln>
          </c:spPr>
          <c:marker>
            <c:symbol val="none"/>
          </c:marker>
          <c:cat>
            <c:numRef>
              <c:f>'MD Analysis'!$A$11:$A$42</c:f>
              <c:numCache>
                <c:formatCode>General</c:formatCode>
                <c:ptCount val="31"/>
                <c:pt idx="0">
                  <c:v>1984.0</c:v>
                </c:pt>
                <c:pt idx="1">
                  <c:v>1985.0</c:v>
                </c:pt>
                <c:pt idx="2">
                  <c:v>1986.0</c:v>
                </c:pt>
                <c:pt idx="3">
                  <c:v>1987.0</c:v>
                </c:pt>
                <c:pt idx="4">
                  <c:v>1988.0</c:v>
                </c:pt>
                <c:pt idx="5">
                  <c:v>1989.0</c:v>
                </c:pt>
                <c:pt idx="6">
                  <c:v>1990.0</c:v>
                </c:pt>
                <c:pt idx="7">
                  <c:v>1991.0</c:v>
                </c:pt>
                <c:pt idx="8">
                  <c:v>1992.0</c:v>
                </c:pt>
                <c:pt idx="9">
                  <c:v>1993.0</c:v>
                </c:pt>
                <c:pt idx="10">
                  <c:v>1994.0</c:v>
                </c:pt>
                <c:pt idx="11">
                  <c:v>1995.0</c:v>
                </c:pt>
                <c:pt idx="12">
                  <c:v>1996.0</c:v>
                </c:pt>
                <c:pt idx="13">
                  <c:v>1997.0</c:v>
                </c:pt>
                <c:pt idx="14">
                  <c:v>1998.0</c:v>
                </c:pt>
                <c:pt idx="15">
                  <c:v>1999.0</c:v>
                </c:pt>
                <c:pt idx="16">
                  <c:v>2000.0</c:v>
                </c:pt>
                <c:pt idx="17">
                  <c:v>2001.0</c:v>
                </c:pt>
                <c:pt idx="18">
                  <c:v>2002.0</c:v>
                </c:pt>
                <c:pt idx="19">
                  <c:v>2003.0</c:v>
                </c:pt>
                <c:pt idx="20">
                  <c:v>2004.0</c:v>
                </c:pt>
                <c:pt idx="21">
                  <c:v>2005.0</c:v>
                </c:pt>
                <c:pt idx="22">
                  <c:v>2006.0</c:v>
                </c:pt>
                <c:pt idx="23">
                  <c:v>2007.0</c:v>
                </c:pt>
                <c:pt idx="24">
                  <c:v>2008.0</c:v>
                </c:pt>
                <c:pt idx="25">
                  <c:v>2009.0</c:v>
                </c:pt>
                <c:pt idx="26">
                  <c:v>2010.0</c:v>
                </c:pt>
                <c:pt idx="27">
                  <c:v>2011.0</c:v>
                </c:pt>
                <c:pt idx="28">
                  <c:v>2012.0</c:v>
                </c:pt>
                <c:pt idx="29">
                  <c:v>2013.0</c:v>
                </c:pt>
                <c:pt idx="30">
                  <c:v>2014.0</c:v>
                </c:pt>
              </c:numCache>
            </c:numRef>
          </c:cat>
          <c:val>
            <c:numRef>
              <c:f>'MD Analysis'!$G$11:$G$42</c:f>
              <c:numCache>
                <c:formatCode>General</c:formatCode>
                <c:ptCount val="31"/>
                <c:pt idx="0">
                  <c:v>0.0</c:v>
                </c:pt>
                <c:pt idx="1">
                  <c:v>3.0</c:v>
                </c:pt>
                <c:pt idx="2">
                  <c:v>9.0</c:v>
                </c:pt>
                <c:pt idx="3">
                  <c:v>21.0</c:v>
                </c:pt>
                <c:pt idx="4">
                  <c:v>28.0</c:v>
                </c:pt>
                <c:pt idx="5">
                  <c:v>30.0</c:v>
                </c:pt>
                <c:pt idx="6">
                  <c:v>33.0</c:v>
                </c:pt>
                <c:pt idx="7">
                  <c:v>37.0</c:v>
                </c:pt>
                <c:pt idx="8">
                  <c:v>46.0</c:v>
                </c:pt>
                <c:pt idx="9">
                  <c:v>53.0</c:v>
                </c:pt>
                <c:pt idx="10">
                  <c:v>57.0</c:v>
                </c:pt>
                <c:pt idx="11">
                  <c:v>66.0</c:v>
                </c:pt>
                <c:pt idx="12">
                  <c:v>74.0</c:v>
                </c:pt>
                <c:pt idx="13">
                  <c:v>76.0</c:v>
                </c:pt>
                <c:pt idx="14">
                  <c:v>77.0</c:v>
                </c:pt>
                <c:pt idx="15">
                  <c:v>80.0</c:v>
                </c:pt>
                <c:pt idx="16">
                  <c:v>104.0</c:v>
                </c:pt>
                <c:pt idx="17">
                  <c:v>106.0</c:v>
                </c:pt>
                <c:pt idx="18">
                  <c:v>108.0</c:v>
                </c:pt>
                <c:pt idx="19">
                  <c:v>110.0</c:v>
                </c:pt>
                <c:pt idx="20">
                  <c:v>111.0</c:v>
                </c:pt>
                <c:pt idx="21">
                  <c:v>117.0</c:v>
                </c:pt>
                <c:pt idx="22">
                  <c:v>120.0</c:v>
                </c:pt>
                <c:pt idx="23">
                  <c:v>122.0</c:v>
                </c:pt>
                <c:pt idx="24">
                  <c:v>122.0</c:v>
                </c:pt>
                <c:pt idx="25">
                  <c:v>124.0</c:v>
                </c:pt>
                <c:pt idx="26">
                  <c:v>125.0</c:v>
                </c:pt>
                <c:pt idx="27">
                  <c:v>126.0</c:v>
                </c:pt>
                <c:pt idx="28">
                  <c:v>130.0</c:v>
                </c:pt>
                <c:pt idx="29">
                  <c:v>130.0</c:v>
                </c:pt>
                <c:pt idx="30">
                  <c:v>133.0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146336"/>
        <c:axId val="2112142848"/>
      </c:lineChart>
      <c:catAx>
        <c:axId val="21121463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112142848"/>
        <c:crosses val="autoZero"/>
        <c:auto val="1"/>
        <c:lblAlgn val="ctr"/>
        <c:lblOffset val="100"/>
        <c:noMultiLvlLbl val="0"/>
      </c:catAx>
      <c:valAx>
        <c:axId val="2112142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2112146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Multidimensional Surveys per year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'MD Analysis'!$B$7</c:f>
              <c:strCache>
                <c:ptCount val="1"/>
                <c:pt idx="0">
                  <c:v>Number of MD surveys in year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'MD Analysis'!$A$11:$A$42</c:f>
              <c:numCache>
                <c:formatCode>General</c:formatCode>
                <c:ptCount val="31"/>
                <c:pt idx="0">
                  <c:v>1984.0</c:v>
                </c:pt>
                <c:pt idx="1">
                  <c:v>1985.0</c:v>
                </c:pt>
                <c:pt idx="2">
                  <c:v>1986.0</c:v>
                </c:pt>
                <c:pt idx="3">
                  <c:v>1987.0</c:v>
                </c:pt>
                <c:pt idx="4">
                  <c:v>1988.0</c:v>
                </c:pt>
                <c:pt idx="5">
                  <c:v>1989.0</c:v>
                </c:pt>
                <c:pt idx="6">
                  <c:v>1990.0</c:v>
                </c:pt>
                <c:pt idx="7">
                  <c:v>1991.0</c:v>
                </c:pt>
                <c:pt idx="8">
                  <c:v>1992.0</c:v>
                </c:pt>
                <c:pt idx="9">
                  <c:v>1993.0</c:v>
                </c:pt>
                <c:pt idx="10">
                  <c:v>1994.0</c:v>
                </c:pt>
                <c:pt idx="11">
                  <c:v>1995.0</c:v>
                </c:pt>
                <c:pt idx="12">
                  <c:v>1996.0</c:v>
                </c:pt>
                <c:pt idx="13">
                  <c:v>1997.0</c:v>
                </c:pt>
                <c:pt idx="14">
                  <c:v>1998.0</c:v>
                </c:pt>
                <c:pt idx="15">
                  <c:v>1999.0</c:v>
                </c:pt>
                <c:pt idx="16">
                  <c:v>2000.0</c:v>
                </c:pt>
                <c:pt idx="17">
                  <c:v>2001.0</c:v>
                </c:pt>
                <c:pt idx="18">
                  <c:v>2002.0</c:v>
                </c:pt>
                <c:pt idx="19">
                  <c:v>2003.0</c:v>
                </c:pt>
                <c:pt idx="20">
                  <c:v>2004.0</c:v>
                </c:pt>
                <c:pt idx="21">
                  <c:v>2005.0</c:v>
                </c:pt>
                <c:pt idx="22">
                  <c:v>2006.0</c:v>
                </c:pt>
                <c:pt idx="23">
                  <c:v>2007.0</c:v>
                </c:pt>
                <c:pt idx="24">
                  <c:v>2008.0</c:v>
                </c:pt>
                <c:pt idx="25">
                  <c:v>2009.0</c:v>
                </c:pt>
                <c:pt idx="26">
                  <c:v>2010.0</c:v>
                </c:pt>
                <c:pt idx="27">
                  <c:v>2011.0</c:v>
                </c:pt>
                <c:pt idx="28">
                  <c:v>2012.0</c:v>
                </c:pt>
                <c:pt idx="29">
                  <c:v>2013.0</c:v>
                </c:pt>
                <c:pt idx="30">
                  <c:v>2014.0</c:v>
                </c:pt>
              </c:numCache>
            </c:numRef>
          </c:cat>
          <c:val>
            <c:numRef>
              <c:f>'MD Analysis'!$B$11:$B$42</c:f>
              <c:numCache>
                <c:formatCode>General</c:formatCode>
                <c:ptCount val="31"/>
                <c:pt idx="0">
                  <c:v>0.0</c:v>
                </c:pt>
                <c:pt idx="1">
                  <c:v>3.0</c:v>
                </c:pt>
                <c:pt idx="2">
                  <c:v>10.0</c:v>
                </c:pt>
                <c:pt idx="3">
                  <c:v>13.0</c:v>
                </c:pt>
                <c:pt idx="4">
                  <c:v>10.0</c:v>
                </c:pt>
                <c:pt idx="5">
                  <c:v>4.0</c:v>
                </c:pt>
                <c:pt idx="6">
                  <c:v>7.0</c:v>
                </c:pt>
                <c:pt idx="7">
                  <c:v>12.0</c:v>
                </c:pt>
                <c:pt idx="8">
                  <c:v>17.0</c:v>
                </c:pt>
                <c:pt idx="9">
                  <c:v>14.0</c:v>
                </c:pt>
                <c:pt idx="10">
                  <c:v>13.0</c:v>
                </c:pt>
                <c:pt idx="11">
                  <c:v>24.0</c:v>
                </c:pt>
                <c:pt idx="12">
                  <c:v>23.0</c:v>
                </c:pt>
                <c:pt idx="13">
                  <c:v>24.0</c:v>
                </c:pt>
                <c:pt idx="14">
                  <c:v>19.0</c:v>
                </c:pt>
                <c:pt idx="15">
                  <c:v>19.0</c:v>
                </c:pt>
                <c:pt idx="16">
                  <c:v>69.0</c:v>
                </c:pt>
                <c:pt idx="17">
                  <c:v>18.0</c:v>
                </c:pt>
                <c:pt idx="18">
                  <c:v>23.0</c:v>
                </c:pt>
                <c:pt idx="19">
                  <c:v>33.0</c:v>
                </c:pt>
                <c:pt idx="20">
                  <c:v>25.0</c:v>
                </c:pt>
                <c:pt idx="21">
                  <c:v>40.0</c:v>
                </c:pt>
                <c:pt idx="22">
                  <c:v>63.0</c:v>
                </c:pt>
                <c:pt idx="23">
                  <c:v>39.0</c:v>
                </c:pt>
                <c:pt idx="24">
                  <c:v>22.0</c:v>
                </c:pt>
                <c:pt idx="25">
                  <c:v>21.0</c:v>
                </c:pt>
                <c:pt idx="26">
                  <c:v>47.0</c:v>
                </c:pt>
                <c:pt idx="27">
                  <c:v>49.0</c:v>
                </c:pt>
                <c:pt idx="28">
                  <c:v>44.0</c:v>
                </c:pt>
                <c:pt idx="29">
                  <c:v>32.0</c:v>
                </c:pt>
                <c:pt idx="30">
                  <c:v>24.0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'MD Analysis'!$F$7</c:f>
              <c:strCache>
                <c:ptCount val="1"/>
                <c:pt idx="0">
                  <c:v>Countries with any MD survey  for the first time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'MD Analysis'!$A$11:$A$42</c:f>
              <c:numCache>
                <c:formatCode>General</c:formatCode>
                <c:ptCount val="31"/>
                <c:pt idx="0">
                  <c:v>1984.0</c:v>
                </c:pt>
                <c:pt idx="1">
                  <c:v>1985.0</c:v>
                </c:pt>
                <c:pt idx="2">
                  <c:v>1986.0</c:v>
                </c:pt>
                <c:pt idx="3">
                  <c:v>1987.0</c:v>
                </c:pt>
                <c:pt idx="4">
                  <c:v>1988.0</c:v>
                </c:pt>
                <c:pt idx="5">
                  <c:v>1989.0</c:v>
                </c:pt>
                <c:pt idx="6">
                  <c:v>1990.0</c:v>
                </c:pt>
                <c:pt idx="7">
                  <c:v>1991.0</c:v>
                </c:pt>
                <c:pt idx="8">
                  <c:v>1992.0</c:v>
                </c:pt>
                <c:pt idx="9">
                  <c:v>1993.0</c:v>
                </c:pt>
                <c:pt idx="10">
                  <c:v>1994.0</c:v>
                </c:pt>
                <c:pt idx="11">
                  <c:v>1995.0</c:v>
                </c:pt>
                <c:pt idx="12">
                  <c:v>1996.0</c:v>
                </c:pt>
                <c:pt idx="13">
                  <c:v>1997.0</c:v>
                </c:pt>
                <c:pt idx="14">
                  <c:v>1998.0</c:v>
                </c:pt>
                <c:pt idx="15">
                  <c:v>1999.0</c:v>
                </c:pt>
                <c:pt idx="16">
                  <c:v>2000.0</c:v>
                </c:pt>
                <c:pt idx="17">
                  <c:v>2001.0</c:v>
                </c:pt>
                <c:pt idx="18">
                  <c:v>2002.0</c:v>
                </c:pt>
                <c:pt idx="19">
                  <c:v>2003.0</c:v>
                </c:pt>
                <c:pt idx="20">
                  <c:v>2004.0</c:v>
                </c:pt>
                <c:pt idx="21">
                  <c:v>2005.0</c:v>
                </c:pt>
                <c:pt idx="22">
                  <c:v>2006.0</c:v>
                </c:pt>
                <c:pt idx="23">
                  <c:v>2007.0</c:v>
                </c:pt>
                <c:pt idx="24">
                  <c:v>2008.0</c:v>
                </c:pt>
                <c:pt idx="25">
                  <c:v>2009.0</c:v>
                </c:pt>
                <c:pt idx="26">
                  <c:v>2010.0</c:v>
                </c:pt>
                <c:pt idx="27">
                  <c:v>2011.0</c:v>
                </c:pt>
                <c:pt idx="28">
                  <c:v>2012.0</c:v>
                </c:pt>
                <c:pt idx="29">
                  <c:v>2013.0</c:v>
                </c:pt>
                <c:pt idx="30">
                  <c:v>2014.0</c:v>
                </c:pt>
              </c:numCache>
            </c:numRef>
          </c:cat>
          <c:val>
            <c:numRef>
              <c:f>'MD Analysis'!$F$11:$F$42</c:f>
              <c:numCache>
                <c:formatCode>General</c:formatCode>
                <c:ptCount val="31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12.0</c:v>
                </c:pt>
                <c:pt idx="4">
                  <c:v>7.0</c:v>
                </c:pt>
                <c:pt idx="5">
                  <c:v>2.0</c:v>
                </c:pt>
                <c:pt idx="6">
                  <c:v>3.0</c:v>
                </c:pt>
                <c:pt idx="7">
                  <c:v>4.0</c:v>
                </c:pt>
                <c:pt idx="8">
                  <c:v>9.0</c:v>
                </c:pt>
                <c:pt idx="9">
                  <c:v>7.0</c:v>
                </c:pt>
                <c:pt idx="10">
                  <c:v>4.0</c:v>
                </c:pt>
                <c:pt idx="11">
                  <c:v>9.0</c:v>
                </c:pt>
                <c:pt idx="12">
                  <c:v>8.0</c:v>
                </c:pt>
                <c:pt idx="13">
                  <c:v>2.0</c:v>
                </c:pt>
                <c:pt idx="14">
                  <c:v>1.0</c:v>
                </c:pt>
                <c:pt idx="15">
                  <c:v>3.0</c:v>
                </c:pt>
                <c:pt idx="16">
                  <c:v>24.0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1.0</c:v>
                </c:pt>
                <c:pt idx="21">
                  <c:v>6.0</c:v>
                </c:pt>
                <c:pt idx="22">
                  <c:v>3.0</c:v>
                </c:pt>
                <c:pt idx="23">
                  <c:v>2.0</c:v>
                </c:pt>
                <c:pt idx="24">
                  <c:v>0.0</c:v>
                </c:pt>
                <c:pt idx="25">
                  <c:v>2.0</c:v>
                </c:pt>
                <c:pt idx="26">
                  <c:v>1.0</c:v>
                </c:pt>
                <c:pt idx="27">
                  <c:v>1.0</c:v>
                </c:pt>
                <c:pt idx="28">
                  <c:v>4.0</c:v>
                </c:pt>
                <c:pt idx="29">
                  <c:v>0.0</c:v>
                </c:pt>
                <c:pt idx="30">
                  <c:v>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106224"/>
        <c:axId val="2112103312"/>
      </c:lineChart>
      <c:catAx>
        <c:axId val="211210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2103312"/>
        <c:crosses val="autoZero"/>
        <c:auto val="1"/>
        <c:lblAlgn val="ctr"/>
        <c:lblOffset val="100"/>
        <c:noMultiLvlLbl val="0"/>
      </c:catAx>
      <c:valAx>
        <c:axId val="211210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106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[Data_deluge_MR_15_01_sa.xlsx]graph by survey type!PivotTable1</c:name>
    <c:fmtId val="6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Garamond" panose="02020404030301010803" pitchFamily="18" charset="0"/>
              </a:rPr>
              <a:t>Number</a:t>
            </a:r>
            <a:r>
              <a:rPr lang="en-GB" baseline="0">
                <a:latin typeface="Garamond" panose="02020404030301010803" pitchFamily="18" charset="0"/>
              </a:rPr>
              <a:t> of surveys by type by year</a:t>
            </a:r>
            <a:endParaRPr lang="en-GB">
              <a:latin typeface="Garamond" panose="02020404030301010803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</c:pivotFmt>
      <c:pivotFmt>
        <c:idx val="1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22225" cap="rnd" cmpd="sng" algn="ctr">
            <a:solidFill>
              <a:schemeClr val="accent2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2"/>
            </a:solidFill>
            <a:ln w="9525" cap="flat" cmpd="sng" algn="ctr">
              <a:solidFill>
                <a:schemeClr val="accent2"/>
              </a:solidFill>
              <a:round/>
            </a:ln>
            <a:effectLst/>
          </c:spPr>
        </c:marker>
      </c:pivotFmt>
      <c:pivotFmt>
        <c:idx val="2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22225" cap="rnd" cmpd="sng" algn="ctr">
            <a:solidFill>
              <a:schemeClr val="accent3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3"/>
            </a:solidFill>
            <a:ln w="9525" cap="flat" cmpd="sng" algn="ctr">
              <a:solidFill>
                <a:schemeClr val="accent3"/>
              </a:solidFill>
              <a:round/>
            </a:ln>
            <a:effectLst/>
          </c:spPr>
        </c:marker>
      </c:pivotFmt>
      <c:pivotFmt>
        <c:idx val="3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22225" cap="rnd" cmpd="sng" algn="ctr">
            <a:solidFill>
              <a:schemeClr val="accent4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4"/>
            </a:solidFill>
            <a:ln w="9525" cap="flat" cmpd="sng" algn="ctr">
              <a:solidFill>
                <a:schemeClr val="accent4"/>
              </a:solidFill>
              <a:round/>
            </a:ln>
            <a:effectLst/>
          </c:spPr>
        </c:marker>
      </c:pivotFmt>
      <c:pivotFmt>
        <c:idx val="4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22225" cap="rnd" cmpd="sng" algn="ctr">
            <a:solidFill>
              <a:schemeClr val="accent5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5"/>
            </a:solidFill>
            <a:ln w="9525" cap="flat" cmpd="sng" algn="ctr">
              <a:solidFill>
                <a:schemeClr val="accent5"/>
              </a:solidFill>
              <a:round/>
            </a:ln>
            <a:effectLst/>
          </c:spPr>
        </c:marker>
      </c:pivotFmt>
      <c:pivotFmt>
        <c:idx val="5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/>
            </a:solidFill>
            <a:ln w="9525" cap="flat" cmpd="sng" algn="ctr">
              <a:solidFill>
                <a:schemeClr val="accent6"/>
              </a:solidFill>
              <a:round/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'graph by survey type'!$B$5:$B$6</c:f>
              <c:strCache>
                <c:ptCount val="1"/>
                <c:pt idx="0">
                  <c:v>CWIQ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'graph by survey type'!$A$7:$A$37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'graph by survey type'!$B$7:$B$37</c:f>
              <c:numCache>
                <c:formatCode>General</c:formatCode>
                <c:ptCount val="30"/>
                <c:pt idx="7">
                  <c:v>1.0</c:v>
                </c:pt>
                <c:pt idx="12">
                  <c:v>2.0</c:v>
                </c:pt>
                <c:pt idx="16">
                  <c:v>2.0</c:v>
                </c:pt>
                <c:pt idx="17">
                  <c:v>3.0</c:v>
                </c:pt>
                <c:pt idx="18">
                  <c:v>4.0</c:v>
                </c:pt>
                <c:pt idx="19">
                  <c:v>3.0</c:v>
                </c:pt>
                <c:pt idx="20">
                  <c:v>7.0</c:v>
                </c:pt>
                <c:pt idx="21">
                  <c:v>5.0</c:v>
                </c:pt>
                <c:pt idx="22">
                  <c:v>8.0</c:v>
                </c:pt>
                <c:pt idx="23">
                  <c:v>1.0</c:v>
                </c:pt>
                <c:pt idx="24">
                  <c:v>1.0</c:v>
                </c:pt>
                <c:pt idx="25">
                  <c:v>3.0</c:v>
                </c:pt>
                <c:pt idx="26">
                  <c:v>1.0</c:v>
                </c:pt>
                <c:pt idx="27">
                  <c:v>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by survey type'!$C$5:$C$6</c:f>
              <c:strCache>
                <c:ptCount val="1"/>
                <c:pt idx="0">
                  <c:v>DHS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'graph by survey type'!$A$7:$A$37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'graph by survey type'!$C$7:$C$37</c:f>
              <c:numCache>
                <c:formatCode>General</c:formatCode>
                <c:ptCount val="30"/>
                <c:pt idx="0">
                  <c:v>1.0</c:v>
                </c:pt>
                <c:pt idx="1">
                  <c:v>9.0</c:v>
                </c:pt>
                <c:pt idx="2">
                  <c:v>11.0</c:v>
                </c:pt>
                <c:pt idx="3">
                  <c:v>7.0</c:v>
                </c:pt>
                <c:pt idx="4">
                  <c:v>2.0</c:v>
                </c:pt>
                <c:pt idx="5">
                  <c:v>5.0</c:v>
                </c:pt>
                <c:pt idx="6">
                  <c:v>6.0</c:v>
                </c:pt>
                <c:pt idx="7">
                  <c:v>11.0</c:v>
                </c:pt>
                <c:pt idx="8">
                  <c:v>8.0</c:v>
                </c:pt>
                <c:pt idx="9">
                  <c:v>8.0</c:v>
                </c:pt>
                <c:pt idx="10">
                  <c:v>9.0</c:v>
                </c:pt>
                <c:pt idx="11">
                  <c:v>11.0</c:v>
                </c:pt>
                <c:pt idx="12">
                  <c:v>14.0</c:v>
                </c:pt>
                <c:pt idx="13">
                  <c:v>13.0</c:v>
                </c:pt>
                <c:pt idx="14">
                  <c:v>12.0</c:v>
                </c:pt>
                <c:pt idx="15">
                  <c:v>15.0</c:v>
                </c:pt>
                <c:pt idx="16">
                  <c:v>6.0</c:v>
                </c:pt>
                <c:pt idx="17">
                  <c:v>9.0</c:v>
                </c:pt>
                <c:pt idx="18">
                  <c:v>14.0</c:v>
                </c:pt>
                <c:pt idx="19">
                  <c:v>12.0</c:v>
                </c:pt>
                <c:pt idx="20">
                  <c:v>18.0</c:v>
                </c:pt>
                <c:pt idx="21">
                  <c:v>15.0</c:v>
                </c:pt>
                <c:pt idx="22">
                  <c:v>15.0</c:v>
                </c:pt>
                <c:pt idx="23">
                  <c:v>12.0</c:v>
                </c:pt>
                <c:pt idx="24">
                  <c:v>12.0</c:v>
                </c:pt>
                <c:pt idx="25">
                  <c:v>16.0</c:v>
                </c:pt>
                <c:pt idx="26">
                  <c:v>17.0</c:v>
                </c:pt>
                <c:pt idx="27">
                  <c:v>21.0</c:v>
                </c:pt>
                <c:pt idx="28">
                  <c:v>18.0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by survey type'!$D$5:$D$6</c:f>
              <c:strCache>
                <c:ptCount val="1"/>
                <c:pt idx="0">
                  <c:v>ILCS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 cap="flat" cmpd="sng" algn="ctr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'graph by survey type'!$A$7:$A$37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'graph by survey type'!$D$7:$D$37</c:f>
              <c:numCache>
                <c:formatCode>General</c:formatCode>
                <c:ptCount val="30"/>
                <c:pt idx="7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7">
                  <c:v>1.0</c:v>
                </c:pt>
                <c:pt idx="18">
                  <c:v>2.0</c:v>
                </c:pt>
                <c:pt idx="19">
                  <c:v>3.0</c:v>
                </c:pt>
                <c:pt idx="20">
                  <c:v>3.0</c:v>
                </c:pt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2.0</c:v>
                </c:pt>
                <c:pt idx="25">
                  <c:v>2.0</c:v>
                </c:pt>
                <c:pt idx="26">
                  <c:v>3.0</c:v>
                </c:pt>
                <c:pt idx="27">
                  <c:v>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by survey type'!$E$5:$E$6</c:f>
              <c:strCache>
                <c:ptCount val="1"/>
                <c:pt idx="0">
                  <c:v>LSMS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'graph by survey type'!$A$7:$A$37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'graph by survey type'!$E$7:$E$37</c:f>
              <c:numCache>
                <c:formatCode>General</c:formatCode>
                <c:ptCount val="30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2.0</c:v>
                </c:pt>
                <c:pt idx="5">
                  <c:v>2.0</c:v>
                </c:pt>
                <c:pt idx="6">
                  <c:v>6.0</c:v>
                </c:pt>
                <c:pt idx="7">
                  <c:v>4.0</c:v>
                </c:pt>
                <c:pt idx="8">
                  <c:v>6.0</c:v>
                </c:pt>
                <c:pt idx="9">
                  <c:v>5.0</c:v>
                </c:pt>
                <c:pt idx="10">
                  <c:v>5.0</c:v>
                </c:pt>
                <c:pt idx="11">
                  <c:v>7.0</c:v>
                </c:pt>
                <c:pt idx="12">
                  <c:v>7.0</c:v>
                </c:pt>
                <c:pt idx="13">
                  <c:v>5.0</c:v>
                </c:pt>
                <c:pt idx="14">
                  <c:v>3.0</c:v>
                </c:pt>
                <c:pt idx="15">
                  <c:v>3.0</c:v>
                </c:pt>
                <c:pt idx="16">
                  <c:v>6.0</c:v>
                </c:pt>
                <c:pt idx="17">
                  <c:v>5.0</c:v>
                </c:pt>
                <c:pt idx="18">
                  <c:v>11.0</c:v>
                </c:pt>
                <c:pt idx="19">
                  <c:v>6.0</c:v>
                </c:pt>
                <c:pt idx="20">
                  <c:v>2.0</c:v>
                </c:pt>
                <c:pt idx="21">
                  <c:v>6.0</c:v>
                </c:pt>
                <c:pt idx="22">
                  <c:v>6.0</c:v>
                </c:pt>
                <c:pt idx="23">
                  <c:v>5.0</c:v>
                </c:pt>
                <c:pt idx="24">
                  <c:v>3.0</c:v>
                </c:pt>
                <c:pt idx="25">
                  <c:v>8.0</c:v>
                </c:pt>
                <c:pt idx="26">
                  <c:v>2.0</c:v>
                </c:pt>
                <c:pt idx="27">
                  <c:v>2.0</c:v>
                </c:pt>
                <c:pt idx="28">
                  <c:v>1.0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by survey type'!$F$5:$F$6</c:f>
              <c:strCache>
                <c:ptCount val="1"/>
                <c:pt idx="0">
                  <c:v>MICS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'graph by survey type'!$A$7:$A$37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'graph by survey type'!$F$7:$F$37</c:f>
              <c:numCache>
                <c:formatCode>General</c:formatCode>
                <c:ptCount val="30"/>
                <c:pt idx="10">
                  <c:v>10.0</c:v>
                </c:pt>
                <c:pt idx="11">
                  <c:v>4.0</c:v>
                </c:pt>
                <c:pt idx="14">
                  <c:v>3.0</c:v>
                </c:pt>
                <c:pt idx="15">
                  <c:v>51.0</c:v>
                </c:pt>
                <c:pt idx="16">
                  <c:v>3.0</c:v>
                </c:pt>
                <c:pt idx="18">
                  <c:v>1.0</c:v>
                </c:pt>
                <c:pt idx="20">
                  <c:v>10.0</c:v>
                </c:pt>
                <c:pt idx="21">
                  <c:v>34.0</c:v>
                </c:pt>
                <c:pt idx="22">
                  <c:v>5.0</c:v>
                </c:pt>
                <c:pt idx="23">
                  <c:v>2.0</c:v>
                </c:pt>
                <c:pt idx="24">
                  <c:v>3.0</c:v>
                </c:pt>
                <c:pt idx="25">
                  <c:v>18.0</c:v>
                </c:pt>
                <c:pt idx="26">
                  <c:v>23.0</c:v>
                </c:pt>
                <c:pt idx="27">
                  <c:v>17.0</c:v>
                </c:pt>
                <c:pt idx="28">
                  <c:v>6.0</c:v>
                </c:pt>
                <c:pt idx="29">
                  <c:v>7.0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 by survey type'!$G$5:$G$6</c:f>
              <c:strCache>
                <c:ptCount val="1"/>
                <c:pt idx="0">
                  <c:v>PAPFAM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'graph by survey type'!$A$7:$A$37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'graph by survey type'!$G$7:$G$37</c:f>
              <c:numCache>
                <c:formatCode>General</c:formatCode>
                <c:ptCount val="30"/>
                <c:pt idx="16">
                  <c:v>1.0</c:v>
                </c:pt>
                <c:pt idx="17">
                  <c:v>5.0</c:v>
                </c:pt>
                <c:pt idx="18">
                  <c:v>1.0</c:v>
                </c:pt>
                <c:pt idx="19">
                  <c:v>1.0</c:v>
                </c:pt>
                <c:pt idx="21">
                  <c:v>1.0</c:v>
                </c:pt>
                <c:pt idx="22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2107738368"/>
        <c:axId val="2107735120"/>
      </c:lineChart>
      <c:catAx>
        <c:axId val="21077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107735120"/>
        <c:crosses val="autoZero"/>
        <c:auto val="1"/>
        <c:lblAlgn val="ctr"/>
        <c:lblOffset val="100"/>
        <c:noMultiLvlLbl val="0"/>
      </c:catAx>
      <c:valAx>
        <c:axId val="210773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1077383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Garamond" panose="02020404030301010803" pitchFamily="18" charset="0"/>
              </a:rPr>
              <a:t>Developing</a:t>
            </a:r>
            <a:r>
              <a:rPr lang="en-GB" baseline="0">
                <a:latin typeface="Garamond" panose="02020404030301010803" pitchFamily="18" charset="0"/>
              </a:rPr>
              <a:t> Countries Surveys: CWIQ, DHS, ILCS, LSMS, MICS</a:t>
            </a:r>
            <a:endParaRPr lang="en-GB">
              <a:latin typeface="Garamond" panose="02020404030301010803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21256979031858"/>
          <c:y val="0.0911458333333333"/>
          <c:w val="0.726215570602613"/>
          <c:h val="0.838958497375328"/>
        </c:manualLayout>
      </c:layout>
      <c:lineChart>
        <c:grouping val="standard"/>
        <c:varyColors val="0"/>
        <c:ser>
          <c:idx val="0"/>
          <c:order val="0"/>
          <c:tx>
            <c:strRef>
              <c:f>'Survey increase by year'!$B$145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'Survey increase by year'!$A$146:$A$175</c:f>
              <c:numCache>
                <c:formatCode>General</c:formatCode>
                <c:ptCount val="30"/>
              </c:numCache>
            </c:numRef>
          </c:cat>
          <c:val>
            <c:numRef>
              <c:f>'Survey increase by year'!$B$146:$B$175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'Survey increase by year'!$C$145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'Survey increase by year'!$A$146:$A$175</c:f>
              <c:numCache>
                <c:formatCode>General</c:formatCode>
                <c:ptCount val="30"/>
              </c:numCache>
            </c:numRef>
          </c:cat>
          <c:val>
            <c:numRef>
              <c:f>'Survey increase by year'!$C$146:$C$175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'Survey increase by year'!$D$145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'Survey increase by year'!$A$146:$A$175</c:f>
              <c:numCache>
                <c:formatCode>General</c:formatCode>
                <c:ptCount val="30"/>
              </c:numCache>
            </c:numRef>
          </c:cat>
          <c:val>
            <c:numRef>
              <c:f>'Survey increase by year'!$D$146:$D$175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'Survey increase by year'!$E$145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'Survey increase by year'!$A$146:$A$175</c:f>
              <c:numCache>
                <c:formatCode>General</c:formatCode>
                <c:ptCount val="30"/>
              </c:numCache>
            </c:numRef>
          </c:cat>
          <c:val>
            <c:numRef>
              <c:f>'Survey increase by year'!$E$146:$E$175</c:f>
              <c:numCache>
                <c:formatCode>General</c:formatCode>
                <c:ptCount val="30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11509584"/>
        <c:axId val="2111512912"/>
      </c:lineChart>
      <c:catAx>
        <c:axId val="211150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111512912"/>
        <c:crosses val="autoZero"/>
        <c:auto val="1"/>
        <c:lblAlgn val="ctr"/>
        <c:lblOffset val="100"/>
        <c:noMultiLvlLbl val="0"/>
      </c:catAx>
      <c:valAx>
        <c:axId val="211151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11150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776164919155"/>
          <c:y val="0.283916994750656"/>
          <c:w val="0.209223763347389"/>
          <c:h val="0.300592519685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Garamond" panose="02020404030301010803" pitchFamily="18" charset="0"/>
              </a:rPr>
              <a:t>Cumulative</a:t>
            </a:r>
            <a:r>
              <a:rPr lang="en-GB" baseline="0">
                <a:latin typeface="Garamond" panose="02020404030301010803" pitchFamily="18" charset="0"/>
              </a:rPr>
              <a:t> I</a:t>
            </a:r>
            <a:r>
              <a:rPr lang="en-GB">
                <a:latin typeface="Garamond" panose="02020404030301010803" pitchFamily="18" charset="0"/>
              </a:rPr>
              <a:t>ncrease</a:t>
            </a:r>
            <a:r>
              <a:rPr lang="en-GB" baseline="0">
                <a:latin typeface="Garamond" panose="02020404030301010803" pitchFamily="18" charset="0"/>
              </a:rPr>
              <a:t> in MD surveys by year</a:t>
            </a:r>
            <a:endParaRPr lang="en-GB">
              <a:latin typeface="Garamond" panose="02020404030301010803" pitchFamily="18" charset="0"/>
            </a:endParaRPr>
          </a:p>
        </c:rich>
      </c:tx>
      <c:layout>
        <c:manualLayout>
          <c:xMode val="edge"/>
          <c:yMode val="edge"/>
          <c:x val="0.33210579677347"/>
          <c:y val="0.0289950977034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875455598885"/>
          <c:y val="0.105136298665181"/>
          <c:w val="0.748819631698226"/>
          <c:h val="0.695724636841231"/>
        </c:manualLayout>
      </c:layout>
      <c:lineChart>
        <c:grouping val="standard"/>
        <c:varyColors val="0"/>
        <c:ser>
          <c:idx val="0"/>
          <c:order val="0"/>
          <c:tx>
            <c:strRef>
              <c:f>'Survey increase by year'!$K$2</c:f>
              <c:strCache>
                <c:ptCount val="1"/>
                <c:pt idx="0">
                  <c:v>Total nb of countries  with country-specific MD survey 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'Survey increase by year'!$J$3:$J$32</c:f>
              <c:numCache>
                <c:formatCode>General</c:formatCode>
                <c:ptCount val="30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</c:numCache>
            </c:numRef>
          </c:cat>
          <c:val>
            <c:numRef>
              <c:f>'Survey increase by year'!$K$3:$K$32</c:f>
              <c:numCache>
                <c:formatCode>General</c:formatCode>
                <c:ptCount val="30"/>
                <c:pt idx="0">
                  <c:v>3.0</c:v>
                </c:pt>
                <c:pt idx="1">
                  <c:v>9.0</c:v>
                </c:pt>
                <c:pt idx="2">
                  <c:v>21.0</c:v>
                </c:pt>
                <c:pt idx="3">
                  <c:v>28.0</c:v>
                </c:pt>
                <c:pt idx="4">
                  <c:v>30.0</c:v>
                </c:pt>
                <c:pt idx="5">
                  <c:v>33.0</c:v>
                </c:pt>
                <c:pt idx="6">
                  <c:v>37.0</c:v>
                </c:pt>
                <c:pt idx="7">
                  <c:v>46.0</c:v>
                </c:pt>
                <c:pt idx="8">
                  <c:v>53.0</c:v>
                </c:pt>
                <c:pt idx="9">
                  <c:v>57.0</c:v>
                </c:pt>
                <c:pt idx="10">
                  <c:v>66.0</c:v>
                </c:pt>
                <c:pt idx="11">
                  <c:v>74.0</c:v>
                </c:pt>
                <c:pt idx="12">
                  <c:v>76.0</c:v>
                </c:pt>
                <c:pt idx="13">
                  <c:v>77.0</c:v>
                </c:pt>
                <c:pt idx="14">
                  <c:v>80.0</c:v>
                </c:pt>
                <c:pt idx="15">
                  <c:v>104.0</c:v>
                </c:pt>
                <c:pt idx="16">
                  <c:v>106.0</c:v>
                </c:pt>
                <c:pt idx="17">
                  <c:v>108.0</c:v>
                </c:pt>
                <c:pt idx="18">
                  <c:v>110.0</c:v>
                </c:pt>
                <c:pt idx="19">
                  <c:v>111.0</c:v>
                </c:pt>
                <c:pt idx="20">
                  <c:v>117.0</c:v>
                </c:pt>
                <c:pt idx="21">
                  <c:v>120.0</c:v>
                </c:pt>
                <c:pt idx="22">
                  <c:v>122.0</c:v>
                </c:pt>
                <c:pt idx="23">
                  <c:v>122.0</c:v>
                </c:pt>
                <c:pt idx="24">
                  <c:v>124.0</c:v>
                </c:pt>
                <c:pt idx="25">
                  <c:v>125.0</c:v>
                </c:pt>
                <c:pt idx="26">
                  <c:v>126.0</c:v>
                </c:pt>
                <c:pt idx="27">
                  <c:v>130.0</c:v>
                </c:pt>
                <c:pt idx="28">
                  <c:v>130.0</c:v>
                </c:pt>
                <c:pt idx="29">
                  <c:v>132.0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'Survey increase by year'!$L$2</c:f>
              <c:strCache>
                <c:ptCount val="1"/>
                <c:pt idx="0">
                  <c:v>Nb of countries with at least 2 MD surveys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'Survey increase by year'!$J$3:$J$32</c:f>
              <c:numCache>
                <c:formatCode>General</c:formatCode>
                <c:ptCount val="30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</c:numCache>
            </c:numRef>
          </c:cat>
          <c:val>
            <c:numRef>
              <c:f>'Survey increase by year'!$L$3:$L$32</c:f>
              <c:numCache>
                <c:formatCode>General</c:formatCode>
                <c:ptCount val="30"/>
                <c:pt idx="0">
                  <c:v>0.0</c:v>
                </c:pt>
                <c:pt idx="1">
                  <c:v>2.0</c:v>
                </c:pt>
                <c:pt idx="2">
                  <c:v>2.0</c:v>
                </c:pt>
                <c:pt idx="3">
                  <c:v>4.0</c:v>
                </c:pt>
                <c:pt idx="4">
                  <c:v>5.0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16.0</c:v>
                </c:pt>
                <c:pt idx="13">
                  <c:v>18.0</c:v>
                </c:pt>
                <c:pt idx="14">
                  <c:v>18.0</c:v>
                </c:pt>
                <c:pt idx="15">
                  <c:v>20.0</c:v>
                </c:pt>
                <c:pt idx="16">
                  <c:v>22.0</c:v>
                </c:pt>
                <c:pt idx="17">
                  <c:v>23.0</c:v>
                </c:pt>
                <c:pt idx="18">
                  <c:v>27.0</c:v>
                </c:pt>
                <c:pt idx="19">
                  <c:v>28.0</c:v>
                </c:pt>
                <c:pt idx="20">
                  <c:v>30.0</c:v>
                </c:pt>
                <c:pt idx="21">
                  <c:v>35.0</c:v>
                </c:pt>
                <c:pt idx="22">
                  <c:v>40.0</c:v>
                </c:pt>
                <c:pt idx="23">
                  <c:v>42.0</c:v>
                </c:pt>
                <c:pt idx="24">
                  <c:v>43.0</c:v>
                </c:pt>
                <c:pt idx="25">
                  <c:v>48.0</c:v>
                </c:pt>
                <c:pt idx="26">
                  <c:v>52.0</c:v>
                </c:pt>
                <c:pt idx="27">
                  <c:v>57.0</c:v>
                </c:pt>
                <c:pt idx="28">
                  <c:v>60.0</c:v>
                </c:pt>
                <c:pt idx="29">
                  <c:v>60.0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'Survey increase by year'!$M$2</c:f>
              <c:strCache>
                <c:ptCount val="1"/>
                <c:pt idx="0">
                  <c:v>Nb countries with at least 3 MD surveys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'Survey increase by year'!$J$3:$J$32</c:f>
              <c:numCache>
                <c:formatCode>General</c:formatCode>
                <c:ptCount val="30"/>
                <c:pt idx="0">
                  <c:v>1985.0</c:v>
                </c:pt>
                <c:pt idx="1">
                  <c:v>1986.0</c:v>
                </c:pt>
                <c:pt idx="2">
                  <c:v>1987.0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1995.0</c:v>
                </c:pt>
                <c:pt idx="11">
                  <c:v>1996.0</c:v>
                </c:pt>
                <c:pt idx="12">
                  <c:v>1997.0</c:v>
                </c:pt>
                <c:pt idx="13">
                  <c:v>1998.0</c:v>
                </c:pt>
                <c:pt idx="14">
                  <c:v>1999.0</c:v>
                </c:pt>
                <c:pt idx="15">
                  <c:v>2000.0</c:v>
                </c:pt>
                <c:pt idx="16">
                  <c:v>2001.0</c:v>
                </c:pt>
                <c:pt idx="17">
                  <c:v>2002.0</c:v>
                </c:pt>
                <c:pt idx="18">
                  <c:v>2003.0</c:v>
                </c:pt>
                <c:pt idx="19">
                  <c:v>2004.0</c:v>
                </c:pt>
                <c:pt idx="20">
                  <c:v>2005.0</c:v>
                </c:pt>
                <c:pt idx="21">
                  <c:v>2006.0</c:v>
                </c:pt>
                <c:pt idx="22">
                  <c:v>2007.0</c:v>
                </c:pt>
                <c:pt idx="23">
                  <c:v>2008.0</c:v>
                </c:pt>
                <c:pt idx="24">
                  <c:v>2009.0</c:v>
                </c:pt>
                <c:pt idx="25">
                  <c:v>2010.0</c:v>
                </c:pt>
                <c:pt idx="26">
                  <c:v>2011.0</c:v>
                </c:pt>
                <c:pt idx="27">
                  <c:v>2012.0</c:v>
                </c:pt>
                <c:pt idx="28">
                  <c:v>2013.0</c:v>
                </c:pt>
                <c:pt idx="29">
                  <c:v>2014.0</c:v>
                </c:pt>
              </c:numCache>
            </c:numRef>
          </c:cat>
          <c:val>
            <c:numRef>
              <c:f>'Survey increase by year'!$M$3:$M$32</c:f>
              <c:numCache>
                <c:formatCode>General</c:formatCode>
                <c:ptCount val="3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2.0</c:v>
                </c:pt>
                <c:pt idx="26">
                  <c:v>3.0</c:v>
                </c:pt>
                <c:pt idx="27">
                  <c:v>3.0</c:v>
                </c:pt>
                <c:pt idx="28">
                  <c:v>3.0</c:v>
                </c:pt>
                <c:pt idx="29">
                  <c:v>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571728"/>
        <c:axId val="2111574912"/>
      </c:lineChart>
      <c:catAx>
        <c:axId val="21115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111574912"/>
        <c:crosses val="autoZero"/>
        <c:auto val="1"/>
        <c:lblAlgn val="ctr"/>
        <c:lblOffset val="100"/>
        <c:noMultiLvlLbl val="0"/>
      </c:catAx>
      <c:valAx>
        <c:axId val="211157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latin typeface="Garamond" panose="02020404030301010803" pitchFamily="18" charset="0"/>
                  </a:rPr>
                  <a:t>Number of countries</a:t>
                </a:r>
              </a:p>
            </c:rich>
          </c:tx>
          <c:layout>
            <c:manualLayout>
              <c:xMode val="edge"/>
              <c:yMode val="edge"/>
              <c:x val="0.0620617609785205"/>
              <c:y val="0.3550006269684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11157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all_multi!$O$1:$O$6</c:f>
              <c:strCache>
                <c:ptCount val="6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all_multi!$N$7:$N$1280</c:f>
              <c:numCache>
                <c:formatCode>General</c:formatCode>
                <c:ptCount val="1274"/>
                <c:pt idx="0">
                  <c:v>1.0</c:v>
                </c:pt>
                <c:pt idx="1">
                  <c:v>2000.0</c:v>
                </c:pt>
                <c:pt idx="5">
                  <c:v>1996.0</c:v>
                </c:pt>
                <c:pt idx="15">
                  <c:v>1995.0</c:v>
                </c:pt>
                <c:pt idx="20">
                  <c:v>1996.0</c:v>
                </c:pt>
                <c:pt idx="25">
                  <c:v>2006.0</c:v>
                </c:pt>
                <c:pt idx="26">
                  <c:v>2012.0</c:v>
                </c:pt>
                <c:pt idx="27">
                  <c:v>1996.0</c:v>
                </c:pt>
                <c:pt idx="41">
                  <c:v>1995.0</c:v>
                </c:pt>
                <c:pt idx="44">
                  <c:v>1994.0</c:v>
                </c:pt>
                <c:pt idx="55">
                  <c:v>2012.0</c:v>
                </c:pt>
                <c:pt idx="56">
                  <c:v>2005.0</c:v>
                </c:pt>
                <c:pt idx="58">
                  <c:v>2001.0</c:v>
                </c:pt>
                <c:pt idx="61">
                  <c:v>1996.0</c:v>
                </c:pt>
                <c:pt idx="629">
                  <c:v>1991.0</c:v>
                </c:pt>
              </c:numCache>
            </c:numRef>
          </c:cat>
          <c:val>
            <c:numRef>
              <c:f>all_multi!$O$7:$O$1280</c:f>
              <c:numCache>
                <c:formatCode>General</c:formatCode>
                <c:ptCount val="1274"/>
                <c:pt idx="0">
                  <c:v>2.0</c:v>
                </c:pt>
                <c:pt idx="1">
                  <c:v>2003.0</c:v>
                </c:pt>
                <c:pt idx="5">
                  <c:v>2000.0</c:v>
                </c:pt>
                <c:pt idx="15">
                  <c:v>2000.0</c:v>
                </c:pt>
                <c:pt idx="20">
                  <c:v>2001.0</c:v>
                </c:pt>
                <c:pt idx="27">
                  <c:v>1999.0</c:v>
                </c:pt>
                <c:pt idx="41">
                  <c:v>2000.0</c:v>
                </c:pt>
                <c:pt idx="44">
                  <c:v>1996.0</c:v>
                </c:pt>
                <c:pt idx="56">
                  <c:v>2012.0</c:v>
                </c:pt>
                <c:pt idx="58">
                  <c:v>2006.0</c:v>
                </c:pt>
                <c:pt idx="61">
                  <c:v>2001.0</c:v>
                </c:pt>
                <c:pt idx="629">
                  <c:v>1992.0</c:v>
                </c:pt>
              </c:numCache>
            </c:numRef>
          </c:val>
        </c:ser>
        <c:ser>
          <c:idx val="1"/>
          <c:order val="1"/>
          <c:tx>
            <c:strRef>
              <c:f>all_multi!$P$1:$P$6</c:f>
              <c:strCache>
                <c:ptCount val="6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all_multi!$N$7:$N$1280</c:f>
              <c:numCache>
                <c:formatCode>General</c:formatCode>
                <c:ptCount val="1274"/>
                <c:pt idx="0">
                  <c:v>1.0</c:v>
                </c:pt>
                <c:pt idx="1">
                  <c:v>2000.0</c:v>
                </c:pt>
                <c:pt idx="5">
                  <c:v>1996.0</c:v>
                </c:pt>
                <c:pt idx="15">
                  <c:v>1995.0</c:v>
                </c:pt>
                <c:pt idx="20">
                  <c:v>1996.0</c:v>
                </c:pt>
                <c:pt idx="25">
                  <c:v>2006.0</c:v>
                </c:pt>
                <c:pt idx="26">
                  <c:v>2012.0</c:v>
                </c:pt>
                <c:pt idx="27">
                  <c:v>1996.0</c:v>
                </c:pt>
                <c:pt idx="41">
                  <c:v>1995.0</c:v>
                </c:pt>
                <c:pt idx="44">
                  <c:v>1994.0</c:v>
                </c:pt>
                <c:pt idx="55">
                  <c:v>2012.0</c:v>
                </c:pt>
                <c:pt idx="56">
                  <c:v>2005.0</c:v>
                </c:pt>
                <c:pt idx="58">
                  <c:v>2001.0</c:v>
                </c:pt>
                <c:pt idx="61">
                  <c:v>1996.0</c:v>
                </c:pt>
                <c:pt idx="629">
                  <c:v>1991.0</c:v>
                </c:pt>
              </c:numCache>
            </c:numRef>
          </c:cat>
          <c:val>
            <c:numRef>
              <c:f>all_multi!$P$7:$P$1280</c:f>
              <c:numCache>
                <c:formatCode>General</c:formatCode>
                <c:ptCount val="1274"/>
                <c:pt idx="0">
                  <c:v>3.0</c:v>
                </c:pt>
                <c:pt idx="1">
                  <c:v>2010.0</c:v>
                </c:pt>
                <c:pt idx="5">
                  <c:v>2002.0</c:v>
                </c:pt>
                <c:pt idx="15">
                  <c:v>2002.0</c:v>
                </c:pt>
                <c:pt idx="20">
                  <c:v>2005.0</c:v>
                </c:pt>
                <c:pt idx="27">
                  <c:v>2000.0</c:v>
                </c:pt>
                <c:pt idx="41">
                  <c:v>2006.0</c:v>
                </c:pt>
                <c:pt idx="44">
                  <c:v>1997.0</c:v>
                </c:pt>
                <c:pt idx="58">
                  <c:v>2011.0</c:v>
                </c:pt>
                <c:pt idx="61">
                  <c:v>2003.0</c:v>
                </c:pt>
                <c:pt idx="629">
                  <c:v>1993.0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962768"/>
        <c:axId val="2111959424"/>
      </c:barChart>
      <c:catAx>
        <c:axId val="211196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959424"/>
        <c:crosses val="autoZero"/>
        <c:auto val="1"/>
        <c:lblAlgn val="ctr"/>
        <c:lblOffset val="100"/>
        <c:noMultiLvlLbl val="0"/>
      </c:catAx>
      <c:valAx>
        <c:axId val="21119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96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10</xdr:row>
      <xdr:rowOff>136525</xdr:rowOff>
    </xdr:from>
    <xdr:to>
      <xdr:col>5</xdr:col>
      <xdr:colOff>641350</xdr:colOff>
      <xdr:row>31</xdr:row>
      <xdr:rowOff>12700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812800</xdr:colOff>
      <xdr:row>9</xdr:row>
      <xdr:rowOff>63500</xdr:rowOff>
    </xdr:from>
    <xdr:to>
      <xdr:col>12</xdr:col>
      <xdr:colOff>444500</xdr:colOff>
      <xdr:row>31</xdr:row>
      <xdr:rowOff>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10</xdr:row>
      <xdr:rowOff>127000</xdr:rowOff>
    </xdr:from>
    <xdr:to>
      <xdr:col>8</xdr:col>
      <xdr:colOff>531393</xdr:colOff>
      <xdr:row>26</xdr:row>
      <xdr:rowOff>180473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710365</xdr:colOff>
      <xdr:row>10</xdr:row>
      <xdr:rowOff>160254</xdr:rowOff>
    </xdr:from>
    <xdr:to>
      <xdr:col>17</xdr:col>
      <xdr:colOff>300791</xdr:colOff>
      <xdr:row>27</xdr:row>
      <xdr:rowOff>49129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377858</xdr:colOff>
      <xdr:row>4</xdr:row>
      <xdr:rowOff>36214</xdr:rowOff>
    </xdr:from>
    <xdr:to>
      <xdr:col>28</xdr:col>
      <xdr:colOff>31401</xdr:colOff>
      <xdr:row>31</xdr:row>
      <xdr:rowOff>136071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144</xdr:row>
      <xdr:rowOff>428625</xdr:rowOff>
    </xdr:from>
    <xdr:to>
      <xdr:col>15</xdr:col>
      <xdr:colOff>268486</xdr:colOff>
      <xdr:row>170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137120</xdr:colOff>
      <xdr:row>11</xdr:row>
      <xdr:rowOff>10467</xdr:rowOff>
    </xdr:from>
    <xdr:to>
      <xdr:col>7</xdr:col>
      <xdr:colOff>460550</xdr:colOff>
      <xdr:row>37</xdr:row>
      <xdr:rowOff>177941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PHI Temp" refreshedDate="41918.66459270833" createdVersion="5" refreshedVersion="5" minRefreshableVersion="3" recordCount="731">
  <cacheSource type="worksheet">
    <worksheetSource ref="B7:M741" sheet="all_multi"/>
  </cacheSource>
  <cacheFields count="12">
    <cacheField name="Country" numFmtId="0">
      <sharedItems count="135">
        <s v="Afghanistan"/>
        <s v="Albania"/>
        <s v="Algeria"/>
        <s v="Angola"/>
        <s v="Antigua and Barbuda"/>
        <s v="Argentina"/>
        <s v="Armenia"/>
        <s v="Azerbaijan"/>
        <s v="Bangladesh"/>
        <s v="Barbados"/>
        <s v="Belarus"/>
        <s v="Belize"/>
        <s v="Benin"/>
        <s v="Bhutan"/>
        <s v="Bolivia"/>
        <s v="Bosnia and Herzegovina"/>
        <s v="Botswana"/>
        <s v="Brazil"/>
        <s v="Bulgaria"/>
        <s v="Burkina Faso"/>
        <s v="Burundi"/>
        <s v="Cambodia"/>
        <s v="Cameroon"/>
        <s v="Cape Verde"/>
        <s v="Central African Republic"/>
        <s v="Chad"/>
        <s v="China"/>
        <s v="Colombia"/>
        <s v="Comoros"/>
        <s v="Congo Brazzaville"/>
        <s v="Congo, Democratic Republic of the"/>
        <s v="Costa Rica"/>
        <s v="Côte d’Ivoire"/>
        <s v="Cuba"/>
        <s v="Djibouti"/>
        <s v="Dominican Rep "/>
        <s v="Ecuador"/>
        <s v="Egypt"/>
        <s v="El Salvador"/>
        <s v="Equatorial Guinea"/>
        <s v="Eritrea"/>
        <s v="Ethiopia"/>
        <s v="Gabon"/>
        <s v="Gambia"/>
        <s v="Georgia"/>
        <s v="Ghana"/>
        <s v="Grenada"/>
        <s v="Guatemala"/>
        <s v="Guinea"/>
        <s v="Guinea-Bissau"/>
        <s v="Guyana"/>
        <s v="Haiti"/>
        <s v="Honduras"/>
        <s v="India"/>
        <s v="Indonesia"/>
        <s v="Iraq"/>
        <s v="Jamaica"/>
        <s v="Jordan"/>
        <s v="Kazakhstan"/>
        <s v="Kenya"/>
        <s v="Korea, Democratic People's Republic of"/>
        <s v="Kosovo (UNSCR 1244/99)"/>
        <s v="Kosovo (settlements)"/>
        <s v="Kyrgyzstan"/>
        <s v="Lao People's Democratic Republic"/>
        <s v="Lebanon"/>
        <s v="Lesotho"/>
        <s v="Liberia"/>
        <s v="Lybia"/>
        <s v="Macedonia"/>
        <s v="Madagascar"/>
        <s v="Malawi"/>
        <s v="Maldives"/>
        <s v="Mali"/>
        <s v="Mauritania"/>
        <s v="Mexico"/>
        <s v="Moldova"/>
        <s v="Mongolia"/>
        <s v="Montenegro"/>
        <s v="Morocco"/>
        <s v="Mozambique"/>
        <s v="Myanmar"/>
        <s v="Namibia"/>
        <s v="Nepal"/>
        <s v="Nicaragua"/>
        <s v="Niger"/>
        <s v="Nigeria"/>
        <s v="Occupied Palestinian Territory"/>
        <s v="Oman"/>
        <s v="Pakistan"/>
        <s v="Palestinians in Syrian Arab Republic"/>
        <s v="Panama"/>
        <s v="Papua Guinea"/>
        <s v="Paraguay"/>
        <s v="Peru"/>
        <s v="Philippines"/>
        <s v="Qatar"/>
        <s v="Romania"/>
        <s v="Rwanda"/>
        <s v="Samoa "/>
        <s v="Sao Tome and Principe"/>
        <s v="Senegal"/>
        <s v="Serbia"/>
        <s v="Sierra Leone"/>
        <s v="Somalia"/>
        <s v="South Africa"/>
        <s v="South Sudan"/>
        <s v="Sri Lanka"/>
        <s v="St. Lucia"/>
        <s v="Sudan"/>
        <s v="Suriname"/>
        <s v="Swaziland"/>
        <s v="Syrian Arab Republic"/>
        <s v="Tajikistan"/>
        <s v="Tanzania"/>
        <s v="Thailand"/>
        <s v="Timor-Leste"/>
        <s v="Togo"/>
        <s v="Trinidad and Tobago"/>
        <s v="Tunisia"/>
        <s v="Turkey"/>
        <s v="Turkmenistan"/>
        <s v="Uganda"/>
        <s v="Ukraine"/>
        <s v="Uruguay"/>
        <s v="Uzbekistan"/>
        <s v="Vanuatu"/>
        <s v="Venezuela"/>
        <s v="Viet Nam"/>
        <s v="Yemen"/>
        <s v="Yugoslavia"/>
        <s v="Zambia"/>
        <s v="Zimbabwe"/>
        <s v="Kosovo" u="1"/>
        <s v="Timor Leste" u="1"/>
      </sharedItems>
    </cacheField>
    <cacheField name="Region" numFmtId="0">
      <sharedItems containsBlank="1"/>
    </cacheField>
    <cacheField name="Survey type" numFmtId="0">
      <sharedItems count="6">
        <s v="DHS"/>
        <s v="MICS"/>
        <s v="LSMS"/>
        <s v="PAPFAM"/>
        <s v="CWIQ"/>
        <s v="ILCS"/>
      </sharedItems>
    </cacheField>
    <cacheField name="Survey kind" numFmtId="0">
      <sharedItems containsBlank="1" containsMixedTypes="1" containsNumber="1" containsInteger="1" minValue="1" maxValue="5"/>
    </cacheField>
    <cacheField name="Year (end of fieldwork)" numFmtId="0">
      <sharedItems containsSemiMixedTypes="0" containsString="0" containsNumber="1" containsInteger="1" minValue="1985" maxValue="2014" count="30">
        <n v="2010"/>
        <n v="2000"/>
        <n v="2003"/>
        <n v="2011"/>
        <n v="2008"/>
        <n v="1996"/>
        <n v="2002"/>
        <n v="2004"/>
        <n v="2005"/>
        <n v="2012"/>
        <n v="1995"/>
        <n v="2006"/>
        <n v="2001"/>
        <n v="1999"/>
        <n v="2007"/>
        <n v="2009"/>
        <n v="1994"/>
        <n v="1997"/>
        <n v="2013"/>
        <n v="1989"/>
        <n v="1998"/>
        <n v="1988"/>
        <n v="1986"/>
        <n v="1991"/>
        <n v="1993"/>
        <n v="1987"/>
        <n v="1990"/>
        <n v="1985"/>
        <n v="1992"/>
        <n v="2014"/>
      </sharedItems>
    </cacheField>
    <cacheField name="Surveys counted" numFmtId="0">
      <sharedItems containsSemiMixedTypes="0" containsString="0" containsNumber="1" containsInteger="1" minValue="1" maxValue="1" count="1">
        <n v="1"/>
      </sharedItems>
    </cacheField>
    <cacheField name="First time " numFmtId="0">
      <sharedItems containsSemiMixedTypes="0" containsString="0" containsNumber="1" containsInteger="1" minValue="0" maxValue="1"/>
    </cacheField>
    <cacheField name="First time country name" numFmtId="0">
      <sharedItems containsBlank="1"/>
    </cacheField>
    <cacheField name="Comment" numFmtId="0">
      <sharedItems containsBlank="1"/>
    </cacheField>
    <cacheField name="Year (start of fieldwork)" numFmtId="0">
      <sharedItems containsString="0" containsBlank="1" containsNumber="1" containsInteger="1" minValue="1995" maxValue="2014"/>
    </cacheField>
    <cacheField name="Counting" numFmtId="0">
      <sharedItems containsSemiMixedTypes="0" containsString="0" containsNumber="1" containsInteger="1" minValue="1" maxValue="25" count="25">
        <n v="2"/>
        <n v="4"/>
        <n v="3"/>
        <n v="1"/>
        <n v="9"/>
        <n v="7"/>
        <n v="6"/>
        <n v="5"/>
        <n v="10"/>
        <n v="8"/>
        <n v="12"/>
        <n v="13"/>
        <n v="11"/>
        <n v="14"/>
        <n v="19"/>
        <n v="16"/>
        <n v="20"/>
        <n v="18"/>
        <n v="17"/>
        <n v="15"/>
        <n v="25"/>
        <n v="24"/>
        <n v="23"/>
        <n v="22"/>
        <n v="21"/>
      </sharedItems>
    </cacheField>
    <cacheField name="First time survey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PHI Temp" refreshedDate="41918.709532291665" createdVersion="5" refreshedVersion="5" minRefreshableVersion="3" recordCount="732">
  <cacheSource type="worksheet">
    <worksheetSource ref="B7:M760" sheet="all_multi"/>
  </cacheSource>
  <cacheFields count="12">
    <cacheField name="Country" numFmtId="0">
      <sharedItems containsBlank="1"/>
    </cacheField>
    <cacheField name="Region" numFmtId="0">
      <sharedItems containsBlank="1" count="10">
        <s v="South Asia"/>
        <s v="Europe and Central Asia"/>
        <s v="Arab States"/>
        <s v="Sub-Saharan Africa"/>
        <s v="Latin America and Caribbean"/>
        <s v="Central and Eastern Europe and Commonwealth of Independent States"/>
        <s v="East Asia and the Pacific"/>
        <m/>
        <s v="Subsaharan Africa"/>
        <s v="   " u="1"/>
      </sharedItems>
    </cacheField>
    <cacheField name="Survey type" numFmtId="0">
      <sharedItems containsBlank="1" count="7">
        <s v="DHS"/>
        <s v="MICS"/>
        <s v="LSMS"/>
        <s v="PAPFAM"/>
        <s v="CWIQ"/>
        <s v="ILCS"/>
        <m/>
      </sharedItems>
    </cacheField>
    <cacheField name="Survey kind" numFmtId="0">
      <sharedItems containsBlank="1" containsMixedTypes="1" containsNumber="1" containsInteger="1" minValue="1" maxValue="5"/>
    </cacheField>
    <cacheField name="Year (end of fieldwork)" numFmtId="0">
      <sharedItems containsString="0" containsBlank="1" containsNumber="1" containsInteger="1" minValue="1985" maxValue="2014" count="31">
        <n v="2010"/>
        <n v="2000"/>
        <n v="2003"/>
        <n v="2011"/>
        <n v="2008"/>
        <n v="1996"/>
        <n v="2002"/>
        <n v="2004"/>
        <n v="2005"/>
        <n v="2012"/>
        <n v="1995"/>
        <n v="2006"/>
        <n v="2001"/>
        <n v="1999"/>
        <n v="2007"/>
        <n v="2009"/>
        <n v="1994"/>
        <n v="1997"/>
        <n v="2013"/>
        <n v="1989"/>
        <n v="1998"/>
        <n v="1988"/>
        <n v="1986"/>
        <n v="1991"/>
        <n v="1993"/>
        <n v="1987"/>
        <n v="1990"/>
        <n v="1985"/>
        <n v="1992"/>
        <n v="2014"/>
        <m/>
      </sharedItems>
    </cacheField>
    <cacheField name="Surveys counted" numFmtId="0">
      <sharedItems containsString="0" containsBlank="1" containsNumber="1" containsInteger="1" minValue="1" maxValue="1"/>
    </cacheField>
    <cacheField name="First time " numFmtId="0">
      <sharedItems containsString="0" containsBlank="1" containsNumber="1" containsInteger="1" minValue="0" maxValue="1"/>
    </cacheField>
    <cacheField name="First time country name" numFmtId="0">
      <sharedItems containsBlank="1"/>
    </cacheField>
    <cacheField name="Comment" numFmtId="0">
      <sharedItems containsBlank="1"/>
    </cacheField>
    <cacheField name="Year (start of fieldwork)" numFmtId="0">
      <sharedItems containsString="0" containsBlank="1" containsNumber="1" containsInteger="1" minValue="1995" maxValue="2014"/>
    </cacheField>
    <cacheField name="Counting" numFmtId="0">
      <sharedItems containsString="0" containsBlank="1" containsNumber="1" containsInteger="1" minValue="1" maxValue="25"/>
    </cacheField>
    <cacheField name="First time survey" numFmtId="0">
      <sharedItems containsSemiMixedTypes="0" containsString="0" containsNumber="1" containsInteger="1" minValue="0" maxValue="1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1">
  <r>
    <x v="0"/>
    <s v="South Asia"/>
    <x v="0"/>
    <s v="DHS 1, Standard"/>
    <x v="0"/>
    <x v="0"/>
    <n v="1"/>
    <s v="Afghanistan"/>
    <m/>
    <m/>
    <x v="0"/>
    <x v="0"/>
  </r>
  <r>
    <x v="0"/>
    <s v="South Asia"/>
    <x v="1"/>
    <n v="2"/>
    <x v="1"/>
    <x v="0"/>
    <n v="1"/>
    <s v="Afghanistan"/>
    <m/>
    <n v="2000"/>
    <x v="1"/>
    <x v="1"/>
  </r>
  <r>
    <x v="0"/>
    <s v="South Asia"/>
    <x v="1"/>
    <n v="2"/>
    <x v="2"/>
    <x v="0"/>
    <n v="0"/>
    <s v=""/>
    <m/>
    <n v="2003"/>
    <x v="2"/>
    <x v="0"/>
  </r>
  <r>
    <x v="0"/>
    <s v="South Asia"/>
    <x v="1"/>
    <n v="4"/>
    <x v="3"/>
    <x v="0"/>
    <n v="0"/>
    <s v=""/>
    <m/>
    <n v="2010"/>
    <x v="3"/>
    <x v="0"/>
  </r>
  <r>
    <x v="1"/>
    <s v="Europe and Central Asia"/>
    <x v="0"/>
    <s v="DHS 1, Standard"/>
    <x v="4"/>
    <x v="0"/>
    <n v="1"/>
    <s v="Albania"/>
    <m/>
    <m/>
    <x v="0"/>
    <x v="0"/>
  </r>
  <r>
    <x v="1"/>
    <s v="Europe and Central Asia"/>
    <x v="2"/>
    <s v="Employment and Welfare Survey"/>
    <x v="5"/>
    <x v="0"/>
    <n v="1"/>
    <s v="Albania"/>
    <m/>
    <m/>
    <x v="4"/>
    <x v="1"/>
  </r>
  <r>
    <x v="1"/>
    <s v="Europe and Central Asia"/>
    <x v="2"/>
    <s v="Living Standards Measurement Survey"/>
    <x v="6"/>
    <x v="0"/>
    <n v="0"/>
    <m/>
    <m/>
    <m/>
    <x v="5"/>
    <x v="0"/>
  </r>
  <r>
    <x v="1"/>
    <s v="Europe and Central Asia"/>
    <x v="2"/>
    <s v="Living Standards Measurement Survey Wave 2 Panel"/>
    <x v="2"/>
    <x v="0"/>
    <n v="0"/>
    <m/>
    <m/>
    <m/>
    <x v="6"/>
    <x v="0"/>
  </r>
  <r>
    <x v="1"/>
    <s v="Europe and Central Asia"/>
    <x v="2"/>
    <s v="Living Standards Measurement Survey Wave 3 Panel"/>
    <x v="7"/>
    <x v="0"/>
    <n v="0"/>
    <m/>
    <m/>
    <m/>
    <x v="7"/>
    <x v="0"/>
  </r>
  <r>
    <x v="1"/>
    <s v="Europe and Central Asia"/>
    <x v="2"/>
    <s v="Living Standards Measurement Survey"/>
    <x v="8"/>
    <x v="0"/>
    <n v="0"/>
    <m/>
    <m/>
    <m/>
    <x v="1"/>
    <x v="0"/>
  </r>
  <r>
    <x v="1"/>
    <s v="Europe and Central Asia"/>
    <x v="2"/>
    <s v="Living Standards Measurement Survey"/>
    <x v="4"/>
    <x v="0"/>
    <n v="0"/>
    <m/>
    <m/>
    <m/>
    <x v="8"/>
    <x v="0"/>
  </r>
  <r>
    <x v="1"/>
    <s v="Europe and Central Asia"/>
    <x v="2"/>
    <s v="Living Standards Measurement Survey"/>
    <x v="9"/>
    <x v="0"/>
    <n v="0"/>
    <m/>
    <m/>
    <n v="2012"/>
    <x v="3"/>
    <x v="0"/>
  </r>
  <r>
    <x v="1"/>
    <s v="Europe and Central Asia"/>
    <x v="1"/>
    <n v="2"/>
    <x v="1"/>
    <x v="0"/>
    <n v="1"/>
    <s v="Albania"/>
    <m/>
    <n v="2000"/>
    <x v="9"/>
    <x v="0"/>
  </r>
  <r>
    <x v="1"/>
    <s v="Europe and Central Asia"/>
    <x v="1"/>
    <n v="3"/>
    <x v="8"/>
    <x v="0"/>
    <n v="0"/>
    <s v=""/>
    <m/>
    <n v="2005"/>
    <x v="2"/>
    <x v="0"/>
  </r>
  <r>
    <x v="2"/>
    <s v="Arab States"/>
    <x v="1"/>
    <n v="1"/>
    <x v="10"/>
    <x v="0"/>
    <n v="1"/>
    <s v="Algeria"/>
    <m/>
    <n v="1995"/>
    <x v="1"/>
    <x v="1"/>
  </r>
  <r>
    <x v="2"/>
    <s v="Arab States"/>
    <x v="1"/>
    <n v="2"/>
    <x v="1"/>
    <x v="0"/>
    <n v="0"/>
    <s v=""/>
    <m/>
    <n v="2000"/>
    <x v="2"/>
    <x v="0"/>
  </r>
  <r>
    <x v="2"/>
    <s v="Arab States"/>
    <x v="1"/>
    <n v="3"/>
    <x v="11"/>
    <x v="0"/>
    <n v="0"/>
    <s v=""/>
    <m/>
    <n v="2006"/>
    <x v="3"/>
    <x v="0"/>
  </r>
  <r>
    <x v="2"/>
    <s v="Arab States"/>
    <x v="1"/>
    <n v="4"/>
    <x v="9"/>
    <x v="0"/>
    <n v="0"/>
    <m/>
    <m/>
    <m/>
    <x v="7"/>
    <x v="0"/>
  </r>
  <r>
    <x v="2"/>
    <s v="Arab States"/>
    <x v="3"/>
    <s v="Algerian Family Healths Survey (AFHS)"/>
    <x v="6"/>
    <x v="0"/>
    <n v="1"/>
    <s v="Algeria"/>
    <m/>
    <n v="2002"/>
    <x v="0"/>
    <x v="0"/>
  </r>
  <r>
    <x v="3"/>
    <s v="Sub-Saharan Africa"/>
    <x v="4"/>
    <s v="Survey of Basic Indicators of Well-Being"/>
    <x v="8"/>
    <x v="0"/>
    <n v="1"/>
    <s v="Angola"/>
    <m/>
    <n v="2005"/>
    <x v="2"/>
    <x v="0"/>
  </r>
  <r>
    <x v="3"/>
    <s v="Sub-Saharan Africa"/>
    <x v="0"/>
    <s v="DHS 1, Standard"/>
    <x v="11"/>
    <x v="0"/>
    <n v="1"/>
    <s v="Angola"/>
    <m/>
    <m/>
    <x v="0"/>
    <x v="0"/>
  </r>
  <r>
    <x v="3"/>
    <s v="Sub-Saharan Africa"/>
    <x v="0"/>
    <s v="DHS 1, Experimental"/>
    <x v="3"/>
    <x v="0"/>
    <n v="0"/>
    <m/>
    <m/>
    <m/>
    <x v="3"/>
    <x v="0"/>
  </r>
  <r>
    <x v="3"/>
    <s v="Sub-Saharan Africa"/>
    <x v="1"/>
    <n v="1"/>
    <x v="5"/>
    <x v="0"/>
    <n v="1"/>
    <s v="Angola"/>
    <m/>
    <n v="1996"/>
    <x v="7"/>
    <x v="1"/>
  </r>
  <r>
    <x v="3"/>
    <s v="Sub-Saharan Africa"/>
    <x v="1"/>
    <n v="2"/>
    <x v="12"/>
    <x v="0"/>
    <n v="0"/>
    <s v=""/>
    <m/>
    <n v="2001"/>
    <x v="1"/>
    <x v="0"/>
  </r>
  <r>
    <x v="4"/>
    <s v="Latin America and Caribbean"/>
    <x v="2"/>
    <s v="Survey of Living Conditions and Household Budgets"/>
    <x v="11"/>
    <x v="0"/>
    <n v="1"/>
    <s v="Antigua and Barbuda"/>
    <m/>
    <n v="2005"/>
    <x v="3"/>
    <x v="1"/>
  </r>
  <r>
    <x v="5"/>
    <s v="Latin America and Caribbean"/>
    <x v="1"/>
    <n v="4"/>
    <x v="9"/>
    <x v="0"/>
    <n v="1"/>
    <s v="Argentina"/>
    <m/>
    <m/>
    <x v="3"/>
    <x v="1"/>
  </r>
  <r>
    <x v="6"/>
    <s v="Europe and Central Asia"/>
    <x v="0"/>
    <s v="DHS 1, Standard"/>
    <x v="1"/>
    <x v="0"/>
    <n v="1"/>
    <s v="Armenia"/>
    <m/>
    <m/>
    <x v="10"/>
    <x v="0"/>
  </r>
  <r>
    <x v="6"/>
    <s v="Europe and Central Asia"/>
    <x v="0"/>
    <s v="DHS 1, Standard"/>
    <x v="8"/>
    <x v="0"/>
    <n v="0"/>
    <m/>
    <m/>
    <m/>
    <x v="0"/>
    <x v="0"/>
  </r>
  <r>
    <x v="6"/>
    <s v="Europe and Central Asia"/>
    <x v="0"/>
    <s v="DHS 1, Standard"/>
    <x v="0"/>
    <x v="0"/>
    <n v="0"/>
    <m/>
    <s v="Ondo state"/>
    <m/>
    <x v="3"/>
    <x v="0"/>
  </r>
  <r>
    <x v="6"/>
    <s v="Europe and Central Asia"/>
    <x v="5"/>
    <s v="ILCS"/>
    <x v="13"/>
    <x v="0"/>
    <n v="1"/>
    <s v="Armenia"/>
    <m/>
    <n v="1998"/>
    <x v="11"/>
    <x v="0"/>
  </r>
  <r>
    <x v="6"/>
    <s v="Europe and Central Asia"/>
    <x v="5"/>
    <s v="ILCS"/>
    <x v="2"/>
    <x v="0"/>
    <n v="0"/>
    <s v=""/>
    <m/>
    <m/>
    <x v="12"/>
    <x v="0"/>
  </r>
  <r>
    <x v="6"/>
    <s v="Europe and Central Asia"/>
    <x v="5"/>
    <s v="ILCS"/>
    <x v="7"/>
    <x v="0"/>
    <n v="0"/>
    <s v=""/>
    <m/>
    <m/>
    <x v="8"/>
    <x v="0"/>
  </r>
  <r>
    <x v="6"/>
    <s v="Europe and Central Asia"/>
    <x v="5"/>
    <s v="ILCS"/>
    <x v="8"/>
    <x v="0"/>
    <n v="0"/>
    <s v=""/>
    <m/>
    <m/>
    <x v="4"/>
    <x v="0"/>
  </r>
  <r>
    <x v="6"/>
    <s v="Europe and Central Asia"/>
    <x v="5"/>
    <s v="ILCS"/>
    <x v="11"/>
    <x v="0"/>
    <n v="0"/>
    <s v=""/>
    <m/>
    <m/>
    <x v="9"/>
    <x v="0"/>
  </r>
  <r>
    <x v="6"/>
    <s v="Europe and Central Asia"/>
    <x v="5"/>
    <s v="ILCS"/>
    <x v="14"/>
    <x v="0"/>
    <n v="0"/>
    <s v=""/>
    <m/>
    <m/>
    <x v="5"/>
    <x v="0"/>
  </r>
  <r>
    <x v="6"/>
    <s v="Europe and Central Asia"/>
    <x v="5"/>
    <s v="ILCS"/>
    <x v="4"/>
    <x v="0"/>
    <n v="0"/>
    <s v=""/>
    <m/>
    <m/>
    <x v="6"/>
    <x v="0"/>
  </r>
  <r>
    <x v="6"/>
    <s v="Europe and Central Asia"/>
    <x v="5"/>
    <s v="ILCS"/>
    <x v="15"/>
    <x v="0"/>
    <n v="0"/>
    <s v=""/>
    <m/>
    <m/>
    <x v="7"/>
    <x v="0"/>
  </r>
  <r>
    <x v="6"/>
    <s v="Europe and Central Asia"/>
    <x v="5"/>
    <s v="ILCS"/>
    <x v="3"/>
    <x v="0"/>
    <n v="0"/>
    <s v=""/>
    <m/>
    <m/>
    <x v="1"/>
    <x v="0"/>
  </r>
  <r>
    <x v="6"/>
    <s v="Europe and Central Asia"/>
    <x v="5"/>
    <s v="ILCS"/>
    <x v="9"/>
    <x v="0"/>
    <n v="0"/>
    <s v=""/>
    <m/>
    <m/>
    <x v="2"/>
    <x v="0"/>
  </r>
  <r>
    <x v="6"/>
    <s v="Europe and Central Asia"/>
    <x v="2"/>
    <s v="Household Budget Survey"/>
    <x v="5"/>
    <x v="0"/>
    <n v="1"/>
    <s v="Armenia"/>
    <m/>
    <m/>
    <x v="13"/>
    <x v="1"/>
  </r>
  <r>
    <x v="7"/>
    <s v="Europe and Central Asia"/>
    <x v="0"/>
    <s v="DHS 1, Experimental"/>
    <x v="11"/>
    <x v="0"/>
    <n v="1"/>
    <m/>
    <m/>
    <m/>
    <x v="3"/>
    <x v="0"/>
  </r>
  <r>
    <x v="7"/>
    <s v="Europe and Central Asia"/>
    <x v="2"/>
    <s v="Survey of Living Conditions"/>
    <x v="10"/>
    <x v="0"/>
    <n v="1"/>
    <m/>
    <m/>
    <m/>
    <x v="2"/>
    <x v="1"/>
  </r>
  <r>
    <x v="7"/>
    <s v="Europe and Central Asia"/>
    <x v="1"/>
    <n v="2"/>
    <x v="1"/>
    <x v="0"/>
    <n v="1"/>
    <s v="Azerbaijan"/>
    <m/>
    <n v="2000"/>
    <x v="0"/>
    <x v="0"/>
  </r>
  <r>
    <x v="8"/>
    <s v="South Asia"/>
    <x v="0"/>
    <s v="DHS 1, Standard"/>
    <x v="16"/>
    <x v="0"/>
    <n v="1"/>
    <m/>
    <m/>
    <m/>
    <x v="12"/>
    <x v="1"/>
  </r>
  <r>
    <x v="8"/>
    <s v="South Asia"/>
    <x v="0"/>
    <s v="DHS 1, Standard"/>
    <x v="17"/>
    <x v="0"/>
    <n v="0"/>
    <m/>
    <m/>
    <m/>
    <x v="4"/>
    <x v="0"/>
  </r>
  <r>
    <x v="8"/>
    <s v="South Asia"/>
    <x v="0"/>
    <s v="DHS 1, Standard"/>
    <x v="13"/>
    <x v="0"/>
    <n v="0"/>
    <m/>
    <m/>
    <m/>
    <x v="9"/>
    <x v="0"/>
  </r>
  <r>
    <x v="8"/>
    <s v="South Asia"/>
    <x v="0"/>
    <s v="DHS 1, Standard"/>
    <x v="1"/>
    <x v="0"/>
    <n v="0"/>
    <m/>
    <m/>
    <m/>
    <x v="5"/>
    <x v="0"/>
  </r>
  <r>
    <x v="8"/>
    <s v="South Asia"/>
    <x v="0"/>
    <s v="DHS 1, Standard"/>
    <x v="12"/>
    <x v="0"/>
    <n v="0"/>
    <m/>
    <m/>
    <m/>
    <x v="6"/>
    <x v="0"/>
  </r>
  <r>
    <x v="8"/>
    <s v="South Asia"/>
    <x v="0"/>
    <s v="DHS 1, Standard"/>
    <x v="7"/>
    <x v="0"/>
    <n v="0"/>
    <m/>
    <m/>
    <m/>
    <x v="7"/>
    <x v="0"/>
  </r>
  <r>
    <x v="8"/>
    <s v="South Asia"/>
    <x v="0"/>
    <s v="DHS 1, Standard"/>
    <x v="14"/>
    <x v="0"/>
    <n v="0"/>
    <m/>
    <m/>
    <m/>
    <x v="2"/>
    <x v="0"/>
  </r>
  <r>
    <x v="8"/>
    <s v="South Asia"/>
    <x v="0"/>
    <s v="DHS 1, Standard"/>
    <x v="3"/>
    <x v="0"/>
    <n v="0"/>
    <m/>
    <m/>
    <m/>
    <x v="0"/>
    <x v="0"/>
  </r>
  <r>
    <x v="8"/>
    <s v="South Asia"/>
    <x v="1"/>
    <n v="1"/>
    <x v="5"/>
    <x v="0"/>
    <n v="1"/>
    <s v="Bangladesh"/>
    <m/>
    <n v="1996"/>
    <x v="8"/>
    <x v="0"/>
  </r>
  <r>
    <x v="8"/>
    <s v="South Asia"/>
    <x v="1"/>
    <n v="3"/>
    <x v="11"/>
    <x v="0"/>
    <n v="0"/>
    <s v=""/>
    <m/>
    <n v="2006"/>
    <x v="1"/>
    <x v="0"/>
  </r>
  <r>
    <x v="8"/>
    <s v="South Asia"/>
    <x v="1"/>
    <n v="5"/>
    <x v="18"/>
    <x v="0"/>
    <n v="0"/>
    <m/>
    <m/>
    <n v="2012"/>
    <x v="3"/>
    <x v="0"/>
  </r>
  <r>
    <x v="9"/>
    <s v="Latin America and Caribbean"/>
    <x v="1"/>
    <n v="4"/>
    <x v="9"/>
    <x v="0"/>
    <n v="1"/>
    <s v="Barbados"/>
    <m/>
    <n v="2012"/>
    <x v="3"/>
    <x v="1"/>
  </r>
  <r>
    <x v="10"/>
    <s v="Central and Eastern Europe and Commonwealth of Independent States"/>
    <x v="1"/>
    <n v="3"/>
    <x v="8"/>
    <x v="0"/>
    <n v="1"/>
    <s v="Belarus"/>
    <m/>
    <n v="2005"/>
    <x v="0"/>
    <x v="1"/>
  </r>
  <r>
    <x v="10"/>
    <s v="Europe and Central Asia"/>
    <x v="1"/>
    <n v="4"/>
    <x v="9"/>
    <x v="0"/>
    <n v="0"/>
    <m/>
    <m/>
    <n v="2012"/>
    <x v="3"/>
    <x v="0"/>
  </r>
  <r>
    <x v="11"/>
    <s v="Latin America and Caribbean"/>
    <x v="2"/>
    <s v="Living Standard Measurement Survey"/>
    <x v="12"/>
    <x v="0"/>
    <n v="1"/>
    <s v="Belize"/>
    <m/>
    <n v="2001"/>
    <x v="2"/>
    <x v="1"/>
  </r>
  <r>
    <x v="11"/>
    <s v="Latin America and Caribbean"/>
    <x v="1"/>
    <n v="3"/>
    <x v="11"/>
    <x v="0"/>
    <n v="1"/>
    <s v="Belize"/>
    <m/>
    <n v="2006"/>
    <x v="0"/>
    <x v="0"/>
  </r>
  <r>
    <x v="11"/>
    <s v="Latin America and Caribbean"/>
    <x v="1"/>
    <n v="4"/>
    <x v="3"/>
    <x v="0"/>
    <n v="0"/>
    <s v=""/>
    <m/>
    <n v="2011"/>
    <x v="3"/>
    <x v="0"/>
  </r>
  <r>
    <x v="12"/>
    <s v="Sub-Saharan Africa"/>
    <x v="4"/>
    <s v="CWIQ"/>
    <x v="2"/>
    <x v="0"/>
    <n v="1"/>
    <s v="Benin"/>
    <m/>
    <n v="2003"/>
    <x v="2"/>
    <x v="0"/>
  </r>
  <r>
    <x v="12"/>
    <s v="Sub-Saharan Africa"/>
    <x v="0"/>
    <s v="DHS 1, Standard"/>
    <x v="5"/>
    <x v="0"/>
    <n v="1"/>
    <s v="Benin"/>
    <m/>
    <m/>
    <x v="7"/>
    <x v="1"/>
  </r>
  <r>
    <x v="12"/>
    <s v="Sub-Saharan Africa"/>
    <x v="0"/>
    <s v="DHS 1, In-Depth"/>
    <x v="12"/>
    <x v="0"/>
    <n v="0"/>
    <s v=""/>
    <m/>
    <m/>
    <x v="1"/>
    <x v="0"/>
  </r>
  <r>
    <x v="12"/>
    <s v="Sub-Saharan Africa"/>
    <x v="0"/>
    <s v="DHS 1, Standard"/>
    <x v="11"/>
    <x v="0"/>
    <n v="0"/>
    <m/>
    <m/>
    <m/>
    <x v="0"/>
    <x v="0"/>
  </r>
  <r>
    <x v="12"/>
    <s v="Sub-Saharan Africa"/>
    <x v="0"/>
    <s v="DHS 1, Standard"/>
    <x v="9"/>
    <x v="0"/>
    <n v="0"/>
    <m/>
    <m/>
    <m/>
    <x v="3"/>
    <x v="0"/>
  </r>
  <r>
    <x v="13"/>
    <s v="South Asia"/>
    <x v="2"/>
    <s v="Bhutan Living Standards Survey (BLSS) "/>
    <x v="2"/>
    <x v="0"/>
    <n v="1"/>
    <s v="Bhutan"/>
    <m/>
    <n v="2003"/>
    <x v="1"/>
    <x v="1"/>
  </r>
  <r>
    <x v="13"/>
    <s v="South Asia"/>
    <x v="2"/>
    <s v="Bhutan Living Standards Survey (BLSS) "/>
    <x v="14"/>
    <x v="0"/>
    <n v="0"/>
    <m/>
    <m/>
    <n v="2007"/>
    <x v="2"/>
    <x v="0"/>
  </r>
  <r>
    <x v="13"/>
    <s v="South Asia"/>
    <x v="2"/>
    <s v="Bhutan Living Standards Survey (BLSS) "/>
    <x v="9"/>
    <x v="0"/>
    <n v="0"/>
    <s v=""/>
    <m/>
    <n v="2012"/>
    <x v="3"/>
    <x v="0"/>
  </r>
  <r>
    <x v="13"/>
    <s v="South Asia"/>
    <x v="1"/>
    <n v="4"/>
    <x v="0"/>
    <x v="0"/>
    <n v="1"/>
    <s v="Bhutan"/>
    <m/>
    <n v="2010"/>
    <x v="0"/>
    <x v="0"/>
  </r>
  <r>
    <x v="14"/>
    <s v="Latin America and Caribbean"/>
    <x v="0"/>
    <s v="DHS 1, Standard"/>
    <x v="19"/>
    <x v="0"/>
    <n v="1"/>
    <s v="Bolivia"/>
    <m/>
    <m/>
    <x v="6"/>
    <x v="1"/>
  </r>
  <r>
    <x v="14"/>
    <s v="Latin America and Caribbean"/>
    <x v="0"/>
    <s v="DHS 1, Standard"/>
    <x v="16"/>
    <x v="0"/>
    <n v="0"/>
    <m/>
    <m/>
    <m/>
    <x v="7"/>
    <x v="0"/>
  </r>
  <r>
    <x v="14"/>
    <s v="Latin America and Caribbean"/>
    <x v="0"/>
    <s v="DHS 1, Standard"/>
    <x v="20"/>
    <x v="0"/>
    <n v="0"/>
    <m/>
    <m/>
    <m/>
    <x v="1"/>
    <x v="0"/>
  </r>
  <r>
    <x v="14"/>
    <s v="Latin America and Caribbean"/>
    <x v="0"/>
    <s v="DHS 1, Standard"/>
    <x v="2"/>
    <x v="0"/>
    <n v="0"/>
    <m/>
    <m/>
    <m/>
    <x v="0"/>
    <x v="0"/>
  </r>
  <r>
    <x v="14"/>
    <s v="Latin America and Caribbean"/>
    <x v="0"/>
    <s v="DHS 1, Standard"/>
    <x v="4"/>
    <x v="0"/>
    <n v="0"/>
    <m/>
    <m/>
    <m/>
    <x v="3"/>
    <x v="0"/>
  </r>
  <r>
    <x v="14"/>
    <s v="Latin America and Caribbean"/>
    <x v="1"/>
    <n v="2"/>
    <x v="1"/>
    <x v="0"/>
    <n v="1"/>
    <s v="Bolivia"/>
    <m/>
    <n v="2000"/>
    <x v="2"/>
    <x v="0"/>
  </r>
  <r>
    <x v="15"/>
    <s v="Europe and Central Asia"/>
    <x v="2"/>
    <s v="Living Standards Measurement Survey"/>
    <x v="12"/>
    <x v="0"/>
    <n v="1"/>
    <s v="Bosnia and Herzegovina"/>
    <m/>
    <m/>
    <x v="5"/>
    <x v="0"/>
  </r>
  <r>
    <x v="15"/>
    <s v="Europe and Central Asia"/>
    <x v="2"/>
    <s v="Living in Bosnia and Herzegovina Survey"/>
    <x v="6"/>
    <x v="0"/>
    <n v="0"/>
    <m/>
    <m/>
    <m/>
    <x v="6"/>
    <x v="0"/>
  </r>
  <r>
    <x v="15"/>
    <s v="Europe and Central Asia"/>
    <x v="2"/>
    <s v="Living in Bosnia and Herzegovina Survey"/>
    <x v="2"/>
    <x v="0"/>
    <n v="0"/>
    <m/>
    <m/>
    <m/>
    <x v="7"/>
    <x v="0"/>
  </r>
  <r>
    <x v="15"/>
    <s v="Europe and Central Asia"/>
    <x v="2"/>
    <s v="Living in Bosnia and Herzegovina Survey"/>
    <x v="7"/>
    <x v="0"/>
    <n v="0"/>
    <m/>
    <m/>
    <m/>
    <x v="1"/>
    <x v="0"/>
  </r>
  <r>
    <x v="15"/>
    <s v="Europe and Central Asia"/>
    <x v="1"/>
    <n v="2"/>
    <x v="1"/>
    <x v="0"/>
    <n v="1"/>
    <s v="Bosnia and Herzegovina"/>
    <m/>
    <n v="2000"/>
    <x v="9"/>
    <x v="1"/>
  </r>
  <r>
    <x v="15"/>
    <s v="Europe and Central Asia"/>
    <x v="1"/>
    <n v="3"/>
    <x v="11"/>
    <x v="0"/>
    <n v="0"/>
    <s v=""/>
    <m/>
    <n v="2006"/>
    <x v="2"/>
    <x v="0"/>
  </r>
  <r>
    <x v="15"/>
    <s v="Europe and Central Asia"/>
    <x v="1"/>
    <n v="4"/>
    <x v="9"/>
    <x v="0"/>
    <n v="0"/>
    <s v=""/>
    <m/>
    <n v="2011"/>
    <x v="0"/>
    <x v="0"/>
  </r>
  <r>
    <x v="15"/>
    <s v="Europe and Central Asia"/>
    <x v="1"/>
    <n v="4"/>
    <x v="9"/>
    <x v="0"/>
    <n v="0"/>
    <s v=""/>
    <m/>
    <n v="2011"/>
    <x v="3"/>
    <x v="0"/>
  </r>
  <r>
    <x v="16"/>
    <s v="Sub-Saharan Africa"/>
    <x v="4"/>
    <s v="CWIQ Poverty Survey"/>
    <x v="0"/>
    <x v="0"/>
    <n v="1"/>
    <s v="Botswana"/>
    <m/>
    <n v="2009"/>
    <x v="3"/>
    <x v="0"/>
  </r>
  <r>
    <x v="16"/>
    <s v="Sub-Saharan Africa"/>
    <x v="0"/>
    <s v="DHS 1, Standard"/>
    <x v="21"/>
    <x v="0"/>
    <n v="1"/>
    <s v="Botswana"/>
    <m/>
    <m/>
    <x v="2"/>
    <x v="1"/>
  </r>
  <r>
    <x v="16"/>
    <s v="Sub-Saharan Africa"/>
    <x v="1"/>
    <n v="2"/>
    <x v="1"/>
    <x v="0"/>
    <n v="0"/>
    <s v=""/>
    <m/>
    <n v="2000"/>
    <x v="0"/>
    <x v="0"/>
  </r>
  <r>
    <x v="17"/>
    <s v="Latin America and Caribbean"/>
    <x v="0"/>
    <s v="DHS 1, Standard"/>
    <x v="22"/>
    <x v="0"/>
    <n v="1"/>
    <s v="Brazil"/>
    <m/>
    <m/>
    <x v="1"/>
    <x v="1"/>
  </r>
  <r>
    <x v="17"/>
    <s v="Latin America and Caribbean"/>
    <x v="0"/>
    <s v="DHS 1, Standard"/>
    <x v="23"/>
    <x v="0"/>
    <n v="0"/>
    <m/>
    <m/>
    <m/>
    <x v="2"/>
    <x v="0"/>
  </r>
  <r>
    <x v="17"/>
    <s v="Latin America and Caribbean"/>
    <x v="0"/>
    <s v="DHS 1, Standard"/>
    <x v="5"/>
    <x v="0"/>
    <n v="0"/>
    <m/>
    <m/>
    <m/>
    <x v="0"/>
    <x v="0"/>
  </r>
  <r>
    <x v="17"/>
    <s v="Latin America and Caribbean"/>
    <x v="2"/>
    <s v="Survey of Living Conditions"/>
    <x v="17"/>
    <x v="0"/>
    <n v="1"/>
    <s v="Brazil"/>
    <m/>
    <m/>
    <x v="3"/>
    <x v="0"/>
  </r>
  <r>
    <x v="18"/>
    <s v="Europe and Central Asia"/>
    <x v="2"/>
    <s v="Integrated Household Survey"/>
    <x v="10"/>
    <x v="0"/>
    <n v="1"/>
    <s v="Bulgaria"/>
    <m/>
    <m/>
    <x v="7"/>
    <x v="1"/>
  </r>
  <r>
    <x v="18"/>
    <s v="Europe and Central Asia"/>
    <x v="2"/>
    <s v="Integrated Household Survey"/>
    <x v="12"/>
    <x v="0"/>
    <n v="0"/>
    <m/>
    <m/>
    <m/>
    <x v="2"/>
    <x v="0"/>
  </r>
  <r>
    <x v="18"/>
    <s v="Europe and Central Asia"/>
    <x v="2"/>
    <s v="Multitopic Household Survey"/>
    <x v="2"/>
    <x v="0"/>
    <n v="0"/>
    <m/>
    <m/>
    <m/>
    <x v="0"/>
    <x v="0"/>
  </r>
  <r>
    <x v="18"/>
    <s v="Europe and Central Asia"/>
    <x v="2"/>
    <s v="Multitopic Household Survey"/>
    <x v="14"/>
    <x v="0"/>
    <n v="0"/>
    <m/>
    <m/>
    <m/>
    <x v="3"/>
    <x v="0"/>
  </r>
  <r>
    <x v="18"/>
    <s v="Europe and Central Asia"/>
    <x v="2"/>
    <s v="Integrated Household Survey"/>
    <x v="17"/>
    <x v="0"/>
    <n v="0"/>
    <s v=""/>
    <m/>
    <m/>
    <x v="1"/>
    <x v="0"/>
  </r>
  <r>
    <x v="19"/>
    <s v="Sub-Saharan Africa"/>
    <x v="4"/>
    <s v="Survey of Household Living Conditions:CWIQ"/>
    <x v="2"/>
    <x v="0"/>
    <n v="1"/>
    <s v="Burkina Faso"/>
    <m/>
    <m/>
    <x v="6"/>
    <x v="0"/>
  </r>
  <r>
    <x v="19"/>
    <s v="Sub-Saharan Africa"/>
    <x v="4"/>
    <s v="Survey of Household Living Conditions:CWIQ"/>
    <x v="8"/>
    <x v="0"/>
    <n v="0"/>
    <s v=""/>
    <m/>
    <m/>
    <x v="7"/>
    <x v="0"/>
  </r>
  <r>
    <x v="19"/>
    <s v="Sub-Saharan Africa"/>
    <x v="4"/>
    <s v="Survey of Household Living Conditions:CWIQ"/>
    <x v="14"/>
    <x v="0"/>
    <n v="0"/>
    <m/>
    <m/>
    <m/>
    <x v="2"/>
    <x v="0"/>
  </r>
  <r>
    <x v="19"/>
    <s v="Sub-Saharan Africa"/>
    <x v="4"/>
    <s v="Survey of Household Living Conditions:CWIQ"/>
    <x v="0"/>
    <x v="0"/>
    <n v="0"/>
    <m/>
    <m/>
    <n v="2009"/>
    <x v="0"/>
    <x v="0"/>
  </r>
  <r>
    <x v="19"/>
    <s v="Sub-Saharan Africa"/>
    <x v="0"/>
    <s v="DHS 1, Standard"/>
    <x v="24"/>
    <x v="0"/>
    <n v="1"/>
    <m/>
    <m/>
    <m/>
    <x v="4"/>
    <x v="1"/>
  </r>
  <r>
    <x v="19"/>
    <s v="Sub-Saharan Africa"/>
    <x v="0"/>
    <s v="DHS 2, Standard"/>
    <x v="13"/>
    <x v="0"/>
    <n v="0"/>
    <m/>
    <m/>
    <m/>
    <x v="9"/>
    <x v="0"/>
  </r>
  <r>
    <x v="19"/>
    <s v="Sub-Saharan Africa"/>
    <x v="0"/>
    <s v="DHS 2, Standard"/>
    <x v="2"/>
    <x v="0"/>
    <n v="0"/>
    <m/>
    <m/>
    <m/>
    <x v="5"/>
    <x v="0"/>
  </r>
  <r>
    <x v="19"/>
    <s v="Sub-Saharan Africa"/>
    <x v="0"/>
    <s v="DHS 2, Standard"/>
    <x v="0"/>
    <x v="0"/>
    <n v="0"/>
    <m/>
    <m/>
    <m/>
    <x v="3"/>
    <x v="0"/>
  </r>
  <r>
    <x v="19"/>
    <s v="Sub-Saharan Africa"/>
    <x v="1"/>
    <n v="3"/>
    <x v="11"/>
    <x v="0"/>
    <n v="1"/>
    <s v="Burkina Faso"/>
    <m/>
    <n v="2006"/>
    <x v="1"/>
    <x v="0"/>
  </r>
  <r>
    <x v="20"/>
    <s v="Sub-Saharan Africa"/>
    <x v="4"/>
    <s v="CWIQ"/>
    <x v="11"/>
    <x v="0"/>
    <n v="1"/>
    <s v="Burundi"/>
    <m/>
    <n v="2006"/>
    <x v="2"/>
    <x v="0"/>
  </r>
  <r>
    <x v="20"/>
    <s v="Sub-Saharan Africa"/>
    <x v="0"/>
    <s v="DHS 2, Standard"/>
    <x v="25"/>
    <x v="0"/>
    <n v="1"/>
    <s v="Burundi"/>
    <m/>
    <m/>
    <x v="6"/>
    <x v="1"/>
  </r>
  <r>
    <x v="20"/>
    <s v="Sub-Saharan Africa"/>
    <x v="0"/>
    <s v="DHS 1, Standard"/>
    <x v="0"/>
    <x v="0"/>
    <n v="0"/>
    <m/>
    <m/>
    <m/>
    <x v="0"/>
    <x v="0"/>
  </r>
  <r>
    <x v="20"/>
    <s v="Sub-Saharan Africa"/>
    <x v="0"/>
    <s v="DHS 2, Standard"/>
    <x v="9"/>
    <x v="0"/>
    <n v="0"/>
    <m/>
    <m/>
    <m/>
    <x v="3"/>
    <x v="0"/>
  </r>
  <r>
    <x v="20"/>
    <s v="Sub-Saharan Africa"/>
    <x v="1"/>
    <n v="2"/>
    <x v="1"/>
    <x v="0"/>
    <n v="1"/>
    <s v="Burundi"/>
    <m/>
    <n v="2000"/>
    <x v="7"/>
    <x v="0"/>
  </r>
  <r>
    <x v="20"/>
    <s v="Sub-Saharan Africa"/>
    <x v="1"/>
    <n v="3"/>
    <x v="8"/>
    <x v="0"/>
    <n v="0"/>
    <s v=""/>
    <m/>
    <n v="2005"/>
    <x v="1"/>
    <x v="0"/>
  </r>
  <r>
    <x v="21"/>
    <s v="East Asia and the Pacific"/>
    <x v="0"/>
    <s v="DHS 2, Standard"/>
    <x v="20"/>
    <x v="0"/>
    <n v="1"/>
    <s v="Cambodia"/>
    <m/>
    <m/>
    <x v="1"/>
    <x v="1"/>
  </r>
  <r>
    <x v="21"/>
    <s v="East Asia and the Pacific"/>
    <x v="0"/>
    <s v="DHS 2, Standard"/>
    <x v="1"/>
    <x v="0"/>
    <n v="0"/>
    <m/>
    <m/>
    <m/>
    <x v="2"/>
    <x v="0"/>
  </r>
  <r>
    <x v="21"/>
    <s v="East Asia and the Pacific"/>
    <x v="0"/>
    <s v="DHS 2, Standard"/>
    <x v="8"/>
    <x v="0"/>
    <n v="0"/>
    <m/>
    <m/>
    <m/>
    <x v="0"/>
    <x v="0"/>
  </r>
  <r>
    <x v="21"/>
    <s v="East Asia and the Pacific"/>
    <x v="0"/>
    <s v="DHS 2, Standard"/>
    <x v="0"/>
    <x v="0"/>
    <n v="0"/>
    <m/>
    <m/>
    <m/>
    <x v="3"/>
    <x v="0"/>
  </r>
  <r>
    <x v="22"/>
    <s v="Sub-Saharan Africa"/>
    <x v="0"/>
    <s v="DHS 2, Standard"/>
    <x v="23"/>
    <x v="0"/>
    <n v="1"/>
    <s v="Cameroon"/>
    <m/>
    <m/>
    <x v="6"/>
    <x v="1"/>
  </r>
  <r>
    <x v="22"/>
    <s v="Sub-Saharan Africa"/>
    <x v="0"/>
    <s v="DHS 2, Standard"/>
    <x v="20"/>
    <x v="0"/>
    <n v="0"/>
    <m/>
    <m/>
    <m/>
    <x v="7"/>
    <x v="0"/>
  </r>
  <r>
    <x v="22"/>
    <s v="Sub-Saharan Africa"/>
    <x v="0"/>
    <s v="DHS Other, Standard"/>
    <x v="7"/>
    <x v="0"/>
    <n v="0"/>
    <m/>
    <m/>
    <m/>
    <x v="2"/>
    <x v="0"/>
  </r>
  <r>
    <x v="22"/>
    <s v="Sub-Saharan Africa"/>
    <x v="0"/>
    <s v="DHS 2, Standard"/>
    <x v="3"/>
    <x v="0"/>
    <n v="0"/>
    <m/>
    <m/>
    <m/>
    <x v="3"/>
    <x v="0"/>
  </r>
  <r>
    <x v="22"/>
    <s v="Sub-Saharan Africa"/>
    <x v="1"/>
    <n v="2"/>
    <x v="1"/>
    <x v="0"/>
    <n v="1"/>
    <s v="Cameroon"/>
    <m/>
    <n v="2000"/>
    <x v="1"/>
    <x v="0"/>
  </r>
  <r>
    <x v="22"/>
    <s v="Sub-Saharan Africa"/>
    <x v="1"/>
    <n v="3"/>
    <x v="11"/>
    <x v="0"/>
    <n v="0"/>
    <s v=""/>
    <m/>
    <n v="2006"/>
    <x v="0"/>
    <x v="0"/>
  </r>
  <r>
    <x v="23"/>
    <s v="Sub-Saharan Africa"/>
    <x v="4"/>
    <s v="CWIQ"/>
    <x v="11"/>
    <x v="0"/>
    <n v="1"/>
    <s v="Cape Verde"/>
    <m/>
    <n v="2006"/>
    <x v="0"/>
    <x v="0"/>
  </r>
  <r>
    <x v="23"/>
    <s v="Sub-Saharan Africa"/>
    <x v="4"/>
    <s v="CWIQ"/>
    <x v="14"/>
    <x v="0"/>
    <n v="0"/>
    <m/>
    <m/>
    <n v="2007"/>
    <x v="3"/>
    <x v="0"/>
  </r>
  <r>
    <x v="23"/>
    <s v="Sub-Saharan Africa"/>
    <x v="0"/>
    <s v="DHS 2, Standard"/>
    <x v="8"/>
    <x v="0"/>
    <n v="1"/>
    <s v="Cape Verde"/>
    <m/>
    <m/>
    <x v="2"/>
    <x v="1"/>
  </r>
  <r>
    <x v="24"/>
    <s v="Sub-Saharan Africa"/>
    <x v="0"/>
    <s v="DHS 2, Standard"/>
    <x v="16"/>
    <x v="0"/>
    <n v="1"/>
    <s v="Central African Republic"/>
    <m/>
    <m/>
    <x v="1"/>
    <x v="1"/>
  </r>
  <r>
    <x v="24"/>
    <s v="Sub-Saharan Africa"/>
    <x v="1"/>
    <n v="2"/>
    <x v="1"/>
    <x v="0"/>
    <n v="1"/>
    <s v="Central African Republic"/>
    <m/>
    <n v="2000"/>
    <x v="2"/>
    <x v="0"/>
  </r>
  <r>
    <x v="24"/>
    <s v="Sub-Saharan Africa"/>
    <x v="1"/>
    <n v="3"/>
    <x v="11"/>
    <x v="0"/>
    <n v="0"/>
    <s v=""/>
    <m/>
    <n v="2006"/>
    <x v="0"/>
    <x v="0"/>
  </r>
  <r>
    <x v="24"/>
    <s v="Sub-Saharan Africa"/>
    <x v="1"/>
    <n v="4"/>
    <x v="0"/>
    <x v="0"/>
    <n v="0"/>
    <s v=""/>
    <m/>
    <n v="2010"/>
    <x v="3"/>
    <x v="0"/>
  </r>
  <r>
    <x v="25"/>
    <s v="Sub-Saharan Africa"/>
    <x v="0"/>
    <s v="DHS 2, Standard"/>
    <x v="17"/>
    <x v="0"/>
    <n v="1"/>
    <s v="Chad"/>
    <m/>
    <m/>
    <x v="1"/>
    <x v="1"/>
  </r>
  <r>
    <x v="25"/>
    <s v="Sub-Saharan Africa"/>
    <x v="0"/>
    <s v="DHS 2, Standard"/>
    <x v="7"/>
    <x v="0"/>
    <n v="0"/>
    <m/>
    <m/>
    <m/>
    <x v="0"/>
    <x v="0"/>
  </r>
  <r>
    <x v="25"/>
    <s v="Sub-Saharan Africa"/>
    <x v="1"/>
    <n v="2"/>
    <x v="1"/>
    <x v="0"/>
    <n v="1"/>
    <s v="Chad"/>
    <m/>
    <n v="2000"/>
    <x v="2"/>
    <x v="0"/>
  </r>
  <r>
    <x v="25"/>
    <s v="Sub-Saharan Africa"/>
    <x v="1"/>
    <n v="4"/>
    <x v="0"/>
    <x v="0"/>
    <n v="0"/>
    <s v=""/>
    <m/>
    <n v="2010"/>
    <x v="3"/>
    <x v="0"/>
  </r>
  <r>
    <x v="26"/>
    <s v="East Asia and the Pacific"/>
    <x v="2"/>
    <s v="Heibei and Liaoning Living Standards Survey"/>
    <x v="10"/>
    <x v="0"/>
    <n v="1"/>
    <s v="China"/>
    <s v="WHS available"/>
    <m/>
    <x v="3"/>
    <x v="1"/>
  </r>
  <r>
    <x v="27"/>
    <s v="Latin America and Caribbean"/>
    <x v="0"/>
    <s v="DHS 2, Standard"/>
    <x v="22"/>
    <x v="0"/>
    <n v="1"/>
    <s v="Colombia"/>
    <m/>
    <m/>
    <x v="6"/>
    <x v="1"/>
  </r>
  <r>
    <x v="27"/>
    <s v="Latin America and Caribbean"/>
    <x v="0"/>
    <s v="DHS 2, Standard"/>
    <x v="26"/>
    <x v="0"/>
    <n v="0"/>
    <m/>
    <m/>
    <m/>
    <x v="7"/>
    <x v="0"/>
  </r>
  <r>
    <x v="27"/>
    <s v="Latin America and Caribbean"/>
    <x v="0"/>
    <s v="DHS 2, Standard"/>
    <x v="10"/>
    <x v="0"/>
    <n v="0"/>
    <m/>
    <m/>
    <m/>
    <x v="1"/>
    <x v="0"/>
  </r>
  <r>
    <x v="27"/>
    <s v="Latin America and Caribbean"/>
    <x v="0"/>
    <s v="DHS 2, Standard"/>
    <x v="1"/>
    <x v="0"/>
    <n v="0"/>
    <m/>
    <m/>
    <m/>
    <x v="2"/>
    <x v="0"/>
  </r>
  <r>
    <x v="27"/>
    <s v="Latin America and Caribbean"/>
    <x v="0"/>
    <s v="DHS 2, Standard"/>
    <x v="8"/>
    <x v="0"/>
    <n v="0"/>
    <m/>
    <m/>
    <m/>
    <x v="0"/>
    <x v="0"/>
  </r>
  <r>
    <x v="27"/>
    <s v="Latin America and Caribbean"/>
    <x v="0"/>
    <s v="DHS 3, Standard"/>
    <x v="0"/>
    <x v="0"/>
    <n v="0"/>
    <m/>
    <m/>
    <m/>
    <x v="3"/>
    <x v="0"/>
  </r>
  <r>
    <x v="28"/>
    <s v="Sub-Saharan Africa"/>
    <x v="0"/>
    <s v="DHS 2, Standard"/>
    <x v="5"/>
    <x v="0"/>
    <n v="1"/>
    <s v="Comoros"/>
    <m/>
    <m/>
    <x v="2"/>
    <x v="1"/>
  </r>
  <r>
    <x v="28"/>
    <s v="Sub-Saharan Africa"/>
    <x v="0"/>
    <s v="DHS 3, Standard"/>
    <x v="9"/>
    <x v="0"/>
    <n v="0"/>
    <m/>
    <m/>
    <m/>
    <x v="3"/>
    <x v="0"/>
  </r>
  <r>
    <x v="28"/>
    <s v="Sub-Saharan Africa"/>
    <x v="1"/>
    <n v="2"/>
    <x v="1"/>
    <x v="0"/>
    <n v="1"/>
    <s v="Comoros"/>
    <m/>
    <n v="2000"/>
    <x v="0"/>
    <x v="0"/>
  </r>
  <r>
    <x v="29"/>
    <s v="Sub-Saharan Africa"/>
    <x v="0"/>
    <s v="DHS 3, In depth"/>
    <x v="8"/>
    <x v="0"/>
    <n v="1"/>
    <s v="Congo Brazzaville"/>
    <m/>
    <m/>
    <x v="1"/>
    <x v="1"/>
  </r>
  <r>
    <x v="29"/>
    <s v="Sub-Saharan Africa"/>
    <x v="0"/>
    <s v="DHS 3, Standard"/>
    <x v="15"/>
    <x v="0"/>
    <n v="1"/>
    <s v="Congo Brazzaville"/>
    <m/>
    <m/>
    <x v="2"/>
    <x v="0"/>
  </r>
  <r>
    <x v="29"/>
    <s v="Sub-Saharan Africa"/>
    <x v="0"/>
    <s v="DHS 3, Standard"/>
    <x v="3"/>
    <x v="0"/>
    <n v="0"/>
    <m/>
    <m/>
    <m/>
    <x v="0"/>
    <x v="0"/>
  </r>
  <r>
    <x v="29"/>
    <s v="Sub-Saharan Africa"/>
    <x v="0"/>
    <s v="DHS 2, Standard"/>
    <x v="18"/>
    <x v="0"/>
    <n v="0"/>
    <m/>
    <m/>
    <m/>
    <x v="3"/>
    <x v="0"/>
  </r>
  <r>
    <x v="30"/>
    <s v="Sub-Saharan Africa"/>
    <x v="4"/>
    <s v="Household Survey for Poverty Assessment:CWIQ"/>
    <x v="8"/>
    <x v="0"/>
    <n v="1"/>
    <s v="Congo, Democratic Republic of the"/>
    <m/>
    <n v="2005"/>
    <x v="2"/>
    <x v="0"/>
  </r>
  <r>
    <x v="30"/>
    <s v="Sub-Saharan Africa"/>
    <x v="0"/>
    <s v="DHS 5, Standard"/>
    <x v="14"/>
    <x v="0"/>
    <n v="1"/>
    <s v="Congo, Democratic Republic of the"/>
    <m/>
    <n v="2007"/>
    <x v="0"/>
    <x v="0"/>
  </r>
  <r>
    <x v="30"/>
    <m/>
    <x v="1"/>
    <n v="1"/>
    <x v="10"/>
    <x v="0"/>
    <n v="1"/>
    <s v="Congo, Democratic Republic of the"/>
    <m/>
    <m/>
    <x v="7"/>
    <x v="1"/>
  </r>
  <r>
    <x v="30"/>
    <s v="Sub-Saharan Africa"/>
    <x v="1"/>
    <n v="2"/>
    <x v="12"/>
    <x v="0"/>
    <n v="0"/>
    <s v=""/>
    <m/>
    <n v="2001"/>
    <x v="1"/>
    <x v="0"/>
  </r>
  <r>
    <x v="30"/>
    <s v="Sub-Saharan Africa"/>
    <x v="1"/>
    <n v="4"/>
    <x v="0"/>
    <x v="0"/>
    <n v="0"/>
    <s v=""/>
    <m/>
    <n v="2010"/>
    <x v="3"/>
    <x v="0"/>
  </r>
  <r>
    <x v="31"/>
    <s v="Latin America and Caribbean"/>
    <x v="1"/>
    <n v="4"/>
    <x v="3"/>
    <x v="0"/>
    <n v="1"/>
    <s v="Costa Rica"/>
    <m/>
    <n v="2011"/>
    <x v="3"/>
    <x v="1"/>
  </r>
  <r>
    <x v="32"/>
    <s v="Sub-Saharan Africa"/>
    <x v="0"/>
    <s v="DHS 3, Standard"/>
    <x v="16"/>
    <x v="0"/>
    <n v="1"/>
    <s v="Côte d’Ivoire"/>
    <m/>
    <m/>
    <x v="6"/>
    <x v="0"/>
  </r>
  <r>
    <x v="32"/>
    <s v="Sub-Saharan Africa"/>
    <x v="0"/>
    <s v="DHS 3, Standard"/>
    <x v="20"/>
    <x v="0"/>
    <n v="0"/>
    <m/>
    <m/>
    <m/>
    <x v="7"/>
    <x v="0"/>
  </r>
  <r>
    <x v="32"/>
    <s v="Sub-Saharan Africa"/>
    <x v="0"/>
    <s v="DHS 5, Standard"/>
    <x v="8"/>
    <x v="0"/>
    <n v="0"/>
    <m/>
    <m/>
    <m/>
    <x v="2"/>
    <x v="0"/>
  </r>
  <r>
    <x v="32"/>
    <s v="Sub-Saharan Africa"/>
    <x v="0"/>
    <s v="DHS 6, Standard"/>
    <x v="9"/>
    <x v="0"/>
    <n v="0"/>
    <m/>
    <m/>
    <m/>
    <x v="3"/>
    <x v="0"/>
  </r>
  <r>
    <x v="32"/>
    <s v="Sub-Saharan Africa"/>
    <x v="2"/>
    <s v="Enquête Permanente Auprès des Ménages"/>
    <x v="27"/>
    <x v="0"/>
    <n v="1"/>
    <s v="Côte d’Ivoire"/>
    <m/>
    <m/>
    <x v="8"/>
    <x v="1"/>
  </r>
  <r>
    <x v="32"/>
    <s v="Sub-Saharan Africa"/>
    <x v="2"/>
    <s v="Enquête Permanente Auprès des Ménages"/>
    <x v="22"/>
    <x v="0"/>
    <n v="0"/>
    <m/>
    <m/>
    <m/>
    <x v="4"/>
    <x v="0"/>
  </r>
  <r>
    <x v="32"/>
    <s v="Sub-Saharan Africa"/>
    <x v="2"/>
    <s v="Enquête Permanente Auprès des Ménages"/>
    <x v="25"/>
    <x v="0"/>
    <n v="0"/>
    <m/>
    <m/>
    <m/>
    <x v="9"/>
    <x v="0"/>
  </r>
  <r>
    <x v="32"/>
    <s v="Sub-Saharan Africa"/>
    <x v="2"/>
    <s v="Enquête Permanente Auprès des Ménages"/>
    <x v="21"/>
    <x v="0"/>
    <n v="0"/>
    <m/>
    <m/>
    <m/>
    <x v="5"/>
    <x v="0"/>
  </r>
  <r>
    <x v="32"/>
    <s v="Sub-Saharan Africa"/>
    <x v="1"/>
    <n v="2"/>
    <x v="1"/>
    <x v="0"/>
    <n v="1"/>
    <s v="Côte d’Ivoire"/>
    <m/>
    <n v="2000"/>
    <x v="1"/>
    <x v="0"/>
  </r>
  <r>
    <x v="32"/>
    <s v="Sub-Saharan Africa"/>
    <x v="1"/>
    <n v="3"/>
    <x v="11"/>
    <x v="0"/>
    <n v="0"/>
    <s v=""/>
    <m/>
    <n v="2006"/>
    <x v="0"/>
    <x v="0"/>
  </r>
  <r>
    <x v="33"/>
    <s v="Latin America and Caribbean"/>
    <x v="1"/>
    <n v="2"/>
    <x v="1"/>
    <x v="0"/>
    <n v="1"/>
    <s v="Cuba"/>
    <m/>
    <n v="2000"/>
    <x v="2"/>
    <x v="1"/>
  </r>
  <r>
    <x v="33"/>
    <s v="Latin America and Caribbean"/>
    <x v="1"/>
    <n v="3"/>
    <x v="11"/>
    <x v="0"/>
    <n v="0"/>
    <s v=""/>
    <m/>
    <n v="2006"/>
    <x v="0"/>
    <x v="0"/>
  </r>
  <r>
    <x v="33"/>
    <s v="Latin America and Caribbean"/>
    <x v="1"/>
    <n v="4"/>
    <x v="3"/>
    <x v="0"/>
    <n v="0"/>
    <s v=""/>
    <m/>
    <n v="2010"/>
    <x v="3"/>
    <x v="0"/>
  </r>
  <r>
    <x v="34"/>
    <s v="Sub-Saharan Africa"/>
    <x v="1"/>
    <n v="3"/>
    <x v="11"/>
    <x v="0"/>
    <n v="1"/>
    <s v="Djibouti"/>
    <m/>
    <n v="2006"/>
    <x v="3"/>
    <x v="0"/>
  </r>
  <r>
    <x v="34"/>
    <s v="Sub-Saharan Africa"/>
    <x v="3"/>
    <s v="Djibouti Family Health Survey (DFHS)"/>
    <x v="6"/>
    <x v="0"/>
    <n v="1"/>
    <s v="Djibouti"/>
    <m/>
    <n v="2002"/>
    <x v="0"/>
    <x v="1"/>
  </r>
  <r>
    <x v="35"/>
    <s v="Latin America and Caribbean"/>
    <x v="0"/>
    <s v="DHS 3, Standard"/>
    <x v="22"/>
    <x v="0"/>
    <n v="1"/>
    <s v="Dominican Rep "/>
    <m/>
    <m/>
    <x v="8"/>
    <x v="1"/>
  </r>
  <r>
    <x v="35"/>
    <s v="Latin America and Caribbean"/>
    <x v="0"/>
    <s v="DHS 3, KAP"/>
    <x v="22"/>
    <x v="0"/>
    <n v="0"/>
    <m/>
    <m/>
    <m/>
    <x v="4"/>
    <x v="0"/>
  </r>
  <r>
    <x v="35"/>
    <s v="Latin America and Caribbean"/>
    <x v="0"/>
    <s v="DHS 3, Standard"/>
    <x v="23"/>
    <x v="0"/>
    <n v="0"/>
    <m/>
    <m/>
    <m/>
    <x v="9"/>
    <x v="0"/>
  </r>
  <r>
    <x v="35"/>
    <s v="Latin America and Caribbean"/>
    <x v="0"/>
    <s v="DHS 3, Standard"/>
    <x v="5"/>
    <x v="0"/>
    <n v="0"/>
    <m/>
    <m/>
    <m/>
    <x v="5"/>
    <x v="0"/>
  </r>
  <r>
    <x v="35"/>
    <s v="Latin America and Caribbean"/>
    <x v="0"/>
    <s v="DHS 3, Standard"/>
    <x v="13"/>
    <x v="0"/>
    <n v="0"/>
    <m/>
    <m/>
    <m/>
    <x v="6"/>
    <x v="0"/>
  </r>
  <r>
    <x v="35"/>
    <s v="Latin America and Caribbean"/>
    <x v="0"/>
    <s v="DHS 3, Standard"/>
    <x v="6"/>
    <x v="0"/>
    <n v="0"/>
    <m/>
    <m/>
    <m/>
    <x v="1"/>
    <x v="0"/>
  </r>
  <r>
    <x v="35"/>
    <s v="Latin America and Caribbean"/>
    <x v="0"/>
    <s v="DHS 5, Standard"/>
    <x v="14"/>
    <x v="0"/>
    <n v="0"/>
    <m/>
    <m/>
    <m/>
    <x v="2"/>
    <x v="0"/>
  </r>
  <r>
    <x v="35"/>
    <s v="Latin America and Caribbean"/>
    <x v="0"/>
    <s v="DHS 5, Special"/>
    <x v="14"/>
    <x v="0"/>
    <n v="0"/>
    <m/>
    <m/>
    <m/>
    <x v="0"/>
    <x v="0"/>
  </r>
  <r>
    <x v="35"/>
    <s v="Latin America and Caribbean"/>
    <x v="0"/>
    <s v="DHS 6"/>
    <x v="18"/>
    <x v="0"/>
    <n v="0"/>
    <m/>
    <m/>
    <m/>
    <x v="3"/>
    <x v="0"/>
  </r>
  <r>
    <x v="35"/>
    <s v="Latin America and Caribbean"/>
    <x v="1"/>
    <n v="2"/>
    <x v="1"/>
    <x v="0"/>
    <n v="1"/>
    <s v="Dominican Rep "/>
    <m/>
    <n v="2000"/>
    <x v="7"/>
    <x v="0"/>
  </r>
  <r>
    <x v="36"/>
    <s v="Latin America and Caribbean"/>
    <x v="0"/>
    <s v="DHS 3, In depth"/>
    <x v="25"/>
    <x v="0"/>
    <n v="1"/>
    <s v="Ecuador"/>
    <m/>
    <m/>
    <x v="1"/>
    <x v="1"/>
  </r>
  <r>
    <x v="36"/>
    <s v="Latin America and Caribbean"/>
    <x v="2"/>
    <s v="Encuesta Condiciones de Vida"/>
    <x v="16"/>
    <x v="0"/>
    <n v="0"/>
    <s v=""/>
    <m/>
    <m/>
    <x v="2"/>
    <x v="0"/>
  </r>
  <r>
    <x v="36"/>
    <s v="Latin America and Caribbean"/>
    <x v="2"/>
    <s v="Encuesta Condiciones de Vida"/>
    <x v="10"/>
    <x v="0"/>
    <n v="0"/>
    <m/>
    <m/>
    <m/>
    <x v="0"/>
    <x v="0"/>
  </r>
  <r>
    <x v="36"/>
    <s v="Latin America and Caribbean"/>
    <x v="2"/>
    <s v="Encuesta Condiciones de Vida"/>
    <x v="20"/>
    <x v="0"/>
    <n v="0"/>
    <m/>
    <m/>
    <m/>
    <x v="3"/>
    <x v="0"/>
  </r>
  <r>
    <x v="37"/>
    <s v="Arab States"/>
    <x v="0"/>
    <s v="DHS 3, Standard"/>
    <x v="21"/>
    <x v="0"/>
    <n v="1"/>
    <s v="Egypt"/>
    <m/>
    <m/>
    <x v="13"/>
    <x v="1"/>
  </r>
  <r>
    <x v="37"/>
    <s v="Arab States"/>
    <x v="0"/>
    <s v="DHS 3, In depth"/>
    <x v="28"/>
    <x v="0"/>
    <n v="0"/>
    <m/>
    <m/>
    <m/>
    <x v="11"/>
    <x v="0"/>
  </r>
  <r>
    <x v="37"/>
    <s v="Arab States"/>
    <x v="0"/>
    <s v="DHS 3, Standard"/>
    <x v="10"/>
    <x v="0"/>
    <n v="0"/>
    <m/>
    <m/>
    <m/>
    <x v="10"/>
    <x v="0"/>
  </r>
  <r>
    <x v="37"/>
    <s v="Arab States"/>
    <x v="0"/>
    <s v="DHS 3, Standard"/>
    <x v="17"/>
    <x v="0"/>
    <n v="0"/>
    <m/>
    <m/>
    <m/>
    <x v="8"/>
    <x v="0"/>
  </r>
  <r>
    <x v="37"/>
    <s v="Arab States"/>
    <x v="0"/>
    <s v="DHS 3, Standard"/>
    <x v="17"/>
    <x v="0"/>
    <n v="0"/>
    <m/>
    <m/>
    <m/>
    <x v="4"/>
    <x v="0"/>
  </r>
  <r>
    <x v="37"/>
    <s v="Arab States"/>
    <x v="0"/>
    <s v="DHS 3, Standard"/>
    <x v="20"/>
    <x v="0"/>
    <n v="0"/>
    <m/>
    <m/>
    <m/>
    <x v="9"/>
    <x v="0"/>
  </r>
  <r>
    <x v="37"/>
    <s v="Arab States"/>
    <x v="0"/>
    <s v="DHS 3, KAP"/>
    <x v="1"/>
    <x v="0"/>
    <n v="0"/>
    <m/>
    <m/>
    <m/>
    <x v="5"/>
    <x v="0"/>
  </r>
  <r>
    <x v="37"/>
    <s v="Arab States"/>
    <x v="0"/>
    <s v="DHS 3, Standard"/>
    <x v="6"/>
    <x v="0"/>
    <n v="0"/>
    <m/>
    <m/>
    <m/>
    <x v="6"/>
    <x v="0"/>
  </r>
  <r>
    <x v="37"/>
    <s v="Arab States"/>
    <x v="0"/>
    <s v="DHS 3, Standard"/>
    <x v="2"/>
    <x v="0"/>
    <n v="0"/>
    <m/>
    <m/>
    <m/>
    <x v="7"/>
    <x v="0"/>
  </r>
  <r>
    <x v="37"/>
    <s v="Arab States"/>
    <x v="0"/>
    <s v="DHS 3, Standard"/>
    <x v="7"/>
    <x v="0"/>
    <n v="0"/>
    <m/>
    <m/>
    <m/>
    <x v="1"/>
    <x v="0"/>
  </r>
  <r>
    <x v="37"/>
    <s v="Arab States"/>
    <x v="0"/>
    <s v="DHS 3, Standard"/>
    <x v="8"/>
    <x v="0"/>
    <n v="0"/>
    <m/>
    <m/>
    <m/>
    <x v="2"/>
    <x v="0"/>
  </r>
  <r>
    <x v="37"/>
    <s v="Arab States"/>
    <x v="0"/>
    <s v="DHS 3, Standard"/>
    <x v="4"/>
    <x v="0"/>
    <n v="0"/>
    <m/>
    <m/>
    <m/>
    <x v="0"/>
    <x v="0"/>
  </r>
  <r>
    <x v="37"/>
    <s v="Arab States"/>
    <x v="1"/>
    <n v="1"/>
    <x v="5"/>
    <x v="0"/>
    <n v="1"/>
    <s v="Egypt"/>
    <m/>
    <n v="1996"/>
    <x v="12"/>
    <x v="0"/>
  </r>
  <r>
    <x v="37"/>
    <s v="Arab States"/>
    <x v="1"/>
    <n v="5"/>
    <x v="29"/>
    <x v="0"/>
    <n v="0"/>
    <m/>
    <m/>
    <n v="2013"/>
    <x v="3"/>
    <x v="0"/>
  </r>
  <r>
    <x v="38"/>
    <s v="Latin America and Caribbean"/>
    <x v="0"/>
    <s v="DHS 3, Standard"/>
    <x v="27"/>
    <x v="0"/>
    <n v="1"/>
    <s v="El Salvador"/>
    <m/>
    <m/>
    <x v="3"/>
    <x v="1"/>
  </r>
  <r>
    <x v="39"/>
    <s v="Sub-Saharan Africa"/>
    <x v="0"/>
    <s v="DHS 3, Standard"/>
    <x v="3"/>
    <x v="0"/>
    <n v="1"/>
    <s v="Equatorial Guinea"/>
    <m/>
    <m/>
    <x v="3"/>
    <x v="0"/>
  </r>
  <r>
    <x v="39"/>
    <s v="Sub-Saharan Africa"/>
    <x v="1"/>
    <n v="2"/>
    <x v="1"/>
    <x v="0"/>
    <n v="1"/>
    <s v="Equatorial Guinea"/>
    <m/>
    <n v="2000"/>
    <x v="0"/>
    <x v="1"/>
  </r>
  <r>
    <x v="40"/>
    <s v="Sub-Saharan Africa"/>
    <x v="0"/>
    <s v="DHS 3, Standard"/>
    <x v="10"/>
    <x v="0"/>
    <n v="1"/>
    <s v="Eritrea"/>
    <m/>
    <m/>
    <x v="0"/>
    <x v="1"/>
  </r>
  <r>
    <x v="40"/>
    <s v="Sub-Saharan Africa"/>
    <x v="0"/>
    <s v="DHS 3, Interim"/>
    <x v="6"/>
    <x v="0"/>
    <n v="0"/>
    <m/>
    <m/>
    <m/>
    <x v="3"/>
    <x v="0"/>
  </r>
  <r>
    <x v="41"/>
    <s v="Sub-Saharan Africa"/>
    <x v="0"/>
    <s v="In Depth"/>
    <x v="1"/>
    <x v="0"/>
    <n v="1"/>
    <s v="Ethiopia"/>
    <m/>
    <m/>
    <x v="1"/>
    <x v="1"/>
  </r>
  <r>
    <x v="41"/>
    <s v="Sub-Saharan Africa"/>
    <x v="0"/>
    <s v="DHS 3, In depth"/>
    <x v="8"/>
    <x v="0"/>
    <n v="0"/>
    <m/>
    <m/>
    <m/>
    <x v="2"/>
    <x v="0"/>
  </r>
  <r>
    <x v="41"/>
    <s v="Sub-Saharan Africa"/>
    <x v="0"/>
    <s v="DHS 3, MCH SPA"/>
    <x v="3"/>
    <x v="0"/>
    <n v="0"/>
    <m/>
    <m/>
    <m/>
    <x v="0"/>
    <x v="0"/>
  </r>
  <r>
    <x v="41"/>
    <s v="Sub-Saharan Africa"/>
    <x v="2"/>
    <s v="Rural Socioeconomic Survey"/>
    <x v="3"/>
    <x v="0"/>
    <n v="1"/>
    <s v="Ethiopia"/>
    <m/>
    <m/>
    <x v="3"/>
    <x v="0"/>
  </r>
  <r>
    <x v="42"/>
    <s v="Sub-Saharan Africa"/>
    <x v="4"/>
    <s v="Enquête Gabonaise pour l'Evaluation et le Suivi de la Pauvreté: CWIQ"/>
    <x v="8"/>
    <x v="0"/>
    <n v="1"/>
    <s v="Gabon"/>
    <m/>
    <m/>
    <x v="3"/>
    <x v="0"/>
  </r>
  <r>
    <x v="42"/>
    <s v="Sub-Saharan Africa"/>
    <x v="0"/>
    <s v="DHS 3, Standard"/>
    <x v="1"/>
    <x v="0"/>
    <n v="1"/>
    <s v="Gabon"/>
    <m/>
    <m/>
    <x v="2"/>
    <x v="1"/>
  </r>
  <r>
    <x v="42"/>
    <s v="Sub-Saharan Africa"/>
    <x v="0"/>
    <s v="DHS 3, Standard"/>
    <x v="9"/>
    <x v="0"/>
    <n v="0"/>
    <m/>
    <m/>
    <m/>
    <x v="0"/>
    <x v="0"/>
  </r>
  <r>
    <x v="43"/>
    <s v="Sub-Saharan Africa"/>
    <x v="0"/>
    <s v="DHS 3, Standard"/>
    <x v="9"/>
    <x v="0"/>
    <n v="1"/>
    <s v="Gambia"/>
    <m/>
    <m/>
    <x v="3"/>
    <x v="0"/>
  </r>
  <r>
    <x v="43"/>
    <s v="Sub-Saharan Africa"/>
    <x v="5"/>
    <s v="ILCS"/>
    <x v="7"/>
    <x v="0"/>
    <n v="1"/>
    <s v="Gambia"/>
    <m/>
    <n v="2003"/>
    <x v="7"/>
    <x v="0"/>
  </r>
  <r>
    <x v="43"/>
    <s v="Sub-Saharan Africa"/>
    <x v="5"/>
    <s v="ILCS"/>
    <x v="0"/>
    <x v="0"/>
    <n v="0"/>
    <m/>
    <m/>
    <n v="2010"/>
    <x v="1"/>
    <x v="0"/>
  </r>
  <r>
    <x v="43"/>
    <s v="Sub-Saharan Africa"/>
    <x v="1"/>
    <n v="2"/>
    <x v="1"/>
    <x v="0"/>
    <n v="1"/>
    <s v="Gambia"/>
    <m/>
    <n v="2000"/>
    <x v="6"/>
    <x v="1"/>
  </r>
  <r>
    <x v="43"/>
    <s v="Sub-Saharan Africa"/>
    <x v="1"/>
    <n v="3"/>
    <x v="11"/>
    <x v="0"/>
    <n v="0"/>
    <s v=""/>
    <m/>
    <n v="2005"/>
    <x v="2"/>
    <x v="0"/>
  </r>
  <r>
    <x v="43"/>
    <s v="Sub-Saharan Africa"/>
    <x v="1"/>
    <n v="4"/>
    <x v="0"/>
    <x v="0"/>
    <n v="0"/>
    <s v=""/>
    <m/>
    <n v="2010"/>
    <x v="0"/>
    <x v="0"/>
  </r>
  <r>
    <x v="44"/>
    <s v="Europe and Central Asia"/>
    <x v="1"/>
    <n v="2"/>
    <x v="13"/>
    <x v="0"/>
    <n v="1"/>
    <s v="Georgia"/>
    <m/>
    <n v="1999"/>
    <x v="0"/>
    <x v="1"/>
  </r>
  <r>
    <x v="44"/>
    <s v="Europe and Central Asia"/>
    <x v="1"/>
    <n v="3"/>
    <x v="8"/>
    <x v="0"/>
    <n v="0"/>
    <s v=""/>
    <m/>
    <n v="2005"/>
    <x v="3"/>
    <x v="0"/>
  </r>
  <r>
    <x v="45"/>
    <s v="Sub-Saharan Africa"/>
    <x v="4"/>
    <s v="CWIQ"/>
    <x v="17"/>
    <x v="0"/>
    <n v="1"/>
    <s v="Ghana"/>
    <m/>
    <m/>
    <x v="13"/>
    <x v="0"/>
  </r>
  <r>
    <x v="45"/>
    <s v="Sub-Saharan Africa"/>
    <x v="4"/>
    <s v="CWIQ"/>
    <x v="2"/>
    <x v="0"/>
    <n v="0"/>
    <m/>
    <m/>
    <m/>
    <x v="8"/>
    <x v="0"/>
  </r>
  <r>
    <x v="45"/>
    <s v="Sub-Saharan Africa"/>
    <x v="0"/>
    <s v="DHS 3, Standard"/>
    <x v="21"/>
    <x v="0"/>
    <n v="1"/>
    <s v="Ghana"/>
    <m/>
    <m/>
    <x v="14"/>
    <x v="0"/>
  </r>
  <r>
    <x v="45"/>
    <s v="Sub-Saharan Africa"/>
    <x v="0"/>
    <s v="DHS 3, Standard"/>
    <x v="24"/>
    <x v="0"/>
    <n v="0"/>
    <m/>
    <m/>
    <m/>
    <x v="15"/>
    <x v="0"/>
  </r>
  <r>
    <x v="45"/>
    <s v="Sub-Saharan Africa"/>
    <x v="0"/>
    <s v="DHS 3, Standard"/>
    <x v="20"/>
    <x v="0"/>
    <n v="0"/>
    <m/>
    <m/>
    <m/>
    <x v="11"/>
    <x v="0"/>
  </r>
  <r>
    <x v="45"/>
    <s v="Sub-Saharan Africa"/>
    <x v="0"/>
    <s v="DHS 3, Standard"/>
    <x v="6"/>
    <x v="0"/>
    <n v="0"/>
    <m/>
    <m/>
    <m/>
    <x v="12"/>
    <x v="0"/>
  </r>
  <r>
    <x v="45"/>
    <s v="Sub-Saharan Africa"/>
    <x v="0"/>
    <s v="DHS 3, Standard"/>
    <x v="2"/>
    <x v="0"/>
    <n v="0"/>
    <m/>
    <m/>
    <m/>
    <x v="4"/>
    <x v="0"/>
  </r>
  <r>
    <x v="45"/>
    <s v="Sub-Saharan Africa"/>
    <x v="0"/>
    <s v="DHS 3, Standard"/>
    <x v="14"/>
    <x v="0"/>
    <n v="0"/>
    <m/>
    <m/>
    <m/>
    <x v="6"/>
    <x v="0"/>
  </r>
  <r>
    <x v="45"/>
    <s v="Sub-Saharan Africa"/>
    <x v="0"/>
    <s v="DHS 3, Standard"/>
    <x v="4"/>
    <x v="0"/>
    <n v="0"/>
    <m/>
    <m/>
    <m/>
    <x v="1"/>
    <x v="0"/>
  </r>
  <r>
    <x v="45"/>
    <s v="Sub-Saharan Africa"/>
    <x v="0"/>
    <s v="DHS 3, Standard"/>
    <x v="3"/>
    <x v="0"/>
    <n v="0"/>
    <m/>
    <m/>
    <m/>
    <x v="2"/>
    <x v="0"/>
  </r>
  <r>
    <x v="45"/>
    <s v="Sub-Saharan Africa"/>
    <x v="2"/>
    <s v="Living Standards Survey"/>
    <x v="25"/>
    <x v="0"/>
    <n v="1"/>
    <s v="Ghana"/>
    <m/>
    <m/>
    <x v="16"/>
    <x v="1"/>
  </r>
  <r>
    <x v="45"/>
    <s v="Sub-Saharan Africa"/>
    <x v="2"/>
    <s v="Living Standards Survey"/>
    <x v="21"/>
    <x v="0"/>
    <n v="0"/>
    <m/>
    <m/>
    <m/>
    <x v="17"/>
    <x v="0"/>
  </r>
  <r>
    <x v="45"/>
    <s v="Sub-Saharan Africa"/>
    <x v="2"/>
    <s v="Living Standards Survey"/>
    <x v="23"/>
    <x v="0"/>
    <n v="0"/>
    <m/>
    <m/>
    <m/>
    <x v="18"/>
    <x v="0"/>
  </r>
  <r>
    <x v="45"/>
    <s v="Sub-Saharan Africa"/>
    <x v="2"/>
    <s v="Living Standards Survey"/>
    <x v="20"/>
    <x v="0"/>
    <n v="0"/>
    <m/>
    <m/>
    <m/>
    <x v="10"/>
    <x v="0"/>
  </r>
  <r>
    <x v="45"/>
    <s v="Sub-Saharan Africa"/>
    <x v="2"/>
    <s v="Living Standards Survey"/>
    <x v="11"/>
    <x v="0"/>
    <n v="0"/>
    <m/>
    <m/>
    <n v="2005"/>
    <x v="9"/>
    <x v="0"/>
  </r>
  <r>
    <x v="45"/>
    <s v="Sub-Saharan Africa"/>
    <x v="1"/>
    <n v="1"/>
    <x v="10"/>
    <x v="0"/>
    <n v="1"/>
    <s v="Ghana"/>
    <m/>
    <n v="1995"/>
    <x v="19"/>
    <x v="0"/>
  </r>
  <r>
    <x v="45"/>
    <s v="Sub-Saharan Africa"/>
    <x v="1"/>
    <n v="3"/>
    <x v="11"/>
    <x v="0"/>
    <n v="0"/>
    <s v=""/>
    <m/>
    <n v="2006"/>
    <x v="5"/>
    <x v="0"/>
  </r>
  <r>
    <x v="45"/>
    <s v="Sub-Saharan Africa"/>
    <x v="1"/>
    <n v="3"/>
    <x v="14"/>
    <x v="0"/>
    <n v="0"/>
    <s v=""/>
    <s v="District"/>
    <n v="2007"/>
    <x v="7"/>
    <x v="0"/>
  </r>
  <r>
    <x v="45"/>
    <s v="Sub-Saharan Africa"/>
    <x v="1"/>
    <n v="4"/>
    <x v="3"/>
    <x v="0"/>
    <n v="0"/>
    <s v=""/>
    <s v="Accra"/>
    <n v="2010"/>
    <x v="0"/>
    <x v="0"/>
  </r>
  <r>
    <x v="45"/>
    <s v="Sub-Saharan Africa"/>
    <x v="1"/>
    <n v="4"/>
    <x v="3"/>
    <x v="0"/>
    <n v="0"/>
    <s v=""/>
    <m/>
    <n v="2011"/>
    <x v="3"/>
    <x v="0"/>
  </r>
  <r>
    <x v="46"/>
    <s v="Latin America and Caribbean"/>
    <x v="4"/>
    <m/>
    <x v="8"/>
    <x v="0"/>
    <n v="1"/>
    <s v="Grenada"/>
    <m/>
    <n v="2005"/>
    <x v="3"/>
    <x v="1"/>
  </r>
  <r>
    <x v="47"/>
    <s v="Latin America and Caribbean"/>
    <x v="0"/>
    <s v="DHS"/>
    <x v="17"/>
    <x v="0"/>
    <n v="0"/>
    <m/>
    <m/>
    <m/>
    <x v="1"/>
    <x v="0"/>
  </r>
  <r>
    <x v="47"/>
    <s v="Latin America and Caribbean"/>
    <x v="0"/>
    <s v="DHS 2, Standard"/>
    <x v="25"/>
    <x v="0"/>
    <n v="1"/>
    <s v="Guatemala"/>
    <m/>
    <m/>
    <x v="6"/>
    <x v="1"/>
  </r>
  <r>
    <x v="47"/>
    <s v="Latin America and Caribbean"/>
    <x v="0"/>
    <s v="DHS 3, Interim"/>
    <x v="10"/>
    <x v="0"/>
    <n v="0"/>
    <m/>
    <m/>
    <m/>
    <x v="7"/>
    <x v="0"/>
  </r>
  <r>
    <x v="47"/>
    <s v="Latin America and Caribbean"/>
    <x v="0"/>
    <s v="DHS 3, Standard"/>
    <x v="17"/>
    <x v="0"/>
    <n v="0"/>
    <m/>
    <m/>
    <m/>
    <x v="2"/>
    <x v="0"/>
  </r>
  <r>
    <x v="47"/>
    <s v="Latin America and Caribbean"/>
    <x v="0"/>
    <s v="DHS 3, Standard"/>
    <x v="13"/>
    <x v="0"/>
    <n v="0"/>
    <m/>
    <m/>
    <m/>
    <x v="0"/>
    <x v="0"/>
  </r>
  <r>
    <x v="47"/>
    <s v="Latin America and Caribbean"/>
    <x v="2"/>
    <s v="Encuesta Nacional sobre Condiciones de Vida"/>
    <x v="1"/>
    <x v="0"/>
    <n v="1"/>
    <s v="Guatemala"/>
    <s v="MICS 2015 coming up"/>
    <m/>
    <x v="3"/>
    <x v="0"/>
  </r>
  <r>
    <x v="48"/>
    <s v="Sub-Saharan Africa"/>
    <x v="4"/>
    <s v="CWIQ"/>
    <x v="6"/>
    <x v="0"/>
    <n v="1"/>
    <s v="Guinea"/>
    <m/>
    <m/>
    <x v="1"/>
    <x v="0"/>
  </r>
  <r>
    <x v="48"/>
    <s v="Sub-Saharan Africa"/>
    <x v="4"/>
    <s v="Light Survey for Poverty Assessment: CWIQ"/>
    <x v="14"/>
    <x v="0"/>
    <n v="0"/>
    <m/>
    <m/>
    <m/>
    <x v="0"/>
    <x v="0"/>
  </r>
  <r>
    <x v="48"/>
    <s v="Sub-Saharan Africa"/>
    <x v="0"/>
    <s v="DHS 3, Standard"/>
    <x v="28"/>
    <x v="0"/>
    <n v="1"/>
    <m/>
    <m/>
    <m/>
    <x v="6"/>
    <x v="1"/>
  </r>
  <r>
    <x v="48"/>
    <s v="Sub-Saharan Africa"/>
    <x v="0"/>
    <s v="DHS 3, Standard"/>
    <x v="13"/>
    <x v="0"/>
    <n v="0"/>
    <m/>
    <m/>
    <m/>
    <x v="7"/>
    <x v="0"/>
  </r>
  <r>
    <x v="48"/>
    <s v="Sub-Saharan Africa"/>
    <x v="0"/>
    <s v="DHS 2, Standard"/>
    <x v="8"/>
    <x v="0"/>
    <n v="0"/>
    <m/>
    <m/>
    <m/>
    <x v="2"/>
    <x v="0"/>
  </r>
  <r>
    <x v="48"/>
    <s v="Sub-Saharan Africa"/>
    <x v="0"/>
    <s v="DHS 3, Standard"/>
    <x v="9"/>
    <x v="0"/>
    <n v="0"/>
    <m/>
    <m/>
    <m/>
    <x v="3"/>
    <x v="0"/>
  </r>
  <r>
    <x v="49"/>
    <s v="Sub-Saharan Africa"/>
    <x v="1"/>
    <n v="2"/>
    <x v="1"/>
    <x v="0"/>
    <n v="1"/>
    <s v="Guinea-Bissau"/>
    <m/>
    <n v="2000"/>
    <x v="2"/>
    <x v="1"/>
  </r>
  <r>
    <x v="49"/>
    <s v="Sub-Saharan Africa"/>
    <x v="1"/>
    <n v="3"/>
    <x v="11"/>
    <x v="0"/>
    <n v="0"/>
    <s v=""/>
    <m/>
    <n v="2006"/>
    <x v="0"/>
    <x v="0"/>
  </r>
  <r>
    <x v="49"/>
    <s v="Sub-Saharan Africa"/>
    <x v="1"/>
    <n v="4"/>
    <x v="0"/>
    <x v="0"/>
    <n v="0"/>
    <s v=""/>
    <m/>
    <n v="2010"/>
    <x v="3"/>
    <x v="0"/>
  </r>
  <r>
    <x v="50"/>
    <s v="Latin America and Caribbean"/>
    <x v="0"/>
    <s v="DHS 4, Standard"/>
    <x v="7"/>
    <x v="0"/>
    <n v="1"/>
    <s v="Guyana"/>
    <m/>
    <m/>
    <x v="1"/>
    <x v="0"/>
  </r>
  <r>
    <x v="50"/>
    <s v="Latin America and Caribbean"/>
    <x v="0"/>
    <s v="DHS 4, Standard"/>
    <x v="8"/>
    <x v="0"/>
    <n v="0"/>
    <m/>
    <m/>
    <m/>
    <x v="2"/>
    <x v="0"/>
  </r>
  <r>
    <x v="50"/>
    <s v="Latin America and Caribbean"/>
    <x v="0"/>
    <s v="DHS 3, Standard"/>
    <x v="15"/>
    <x v="0"/>
    <n v="0"/>
    <m/>
    <m/>
    <m/>
    <x v="3"/>
    <x v="0"/>
  </r>
  <r>
    <x v="50"/>
    <s v="Latin America and Caribbean"/>
    <x v="2"/>
    <s v="Living Standards Measurement Survey"/>
    <x v="28"/>
    <x v="0"/>
    <n v="1"/>
    <s v="Guyana"/>
    <m/>
    <m/>
    <x v="6"/>
    <x v="1"/>
  </r>
  <r>
    <x v="50"/>
    <s v="Latin America and Caribbean"/>
    <x v="1"/>
    <n v="2"/>
    <x v="1"/>
    <x v="0"/>
    <n v="1"/>
    <s v="Guyana"/>
    <m/>
    <n v="2000"/>
    <x v="7"/>
    <x v="0"/>
  </r>
  <r>
    <x v="50"/>
    <s v="Latin America and Caribbean"/>
    <x v="1"/>
    <n v="3"/>
    <x v="14"/>
    <x v="0"/>
    <n v="0"/>
    <s v=""/>
    <m/>
    <n v="2006"/>
    <x v="0"/>
    <x v="0"/>
  </r>
  <r>
    <x v="51"/>
    <s v="Latin America and Caribbean"/>
    <x v="0"/>
    <s v="DHS 4, Standard"/>
    <x v="16"/>
    <x v="0"/>
    <n v="0"/>
    <m/>
    <m/>
    <m/>
    <x v="7"/>
    <x v="1"/>
  </r>
  <r>
    <x v="51"/>
    <s v="Latin America and Caribbean"/>
    <x v="0"/>
    <s v="DHS 4, Standard"/>
    <x v="1"/>
    <x v="0"/>
    <n v="1"/>
    <s v="Haiti"/>
    <m/>
    <m/>
    <x v="1"/>
    <x v="0"/>
  </r>
  <r>
    <x v="51"/>
    <s v="Latin America and Caribbean"/>
    <x v="0"/>
    <s v="DHS 4, Interim"/>
    <x v="11"/>
    <x v="0"/>
    <n v="0"/>
    <m/>
    <m/>
    <m/>
    <x v="2"/>
    <x v="0"/>
  </r>
  <r>
    <x v="51"/>
    <s v="Latin America and Caribbean"/>
    <x v="0"/>
    <s v="DHS 4, Standard"/>
    <x v="9"/>
    <x v="0"/>
    <n v="0"/>
    <m/>
    <m/>
    <m/>
    <x v="0"/>
    <x v="0"/>
  </r>
  <r>
    <x v="51"/>
    <s v="Latin America and Caribbean"/>
    <x v="0"/>
    <s v="DHS 4, Standard"/>
    <x v="18"/>
    <x v="0"/>
    <n v="0"/>
    <m/>
    <m/>
    <m/>
    <x v="3"/>
    <x v="0"/>
  </r>
  <r>
    <x v="52"/>
    <s v="Latin America and Caribbean"/>
    <x v="0"/>
    <s v="DHS 4, MCH SPA"/>
    <x v="8"/>
    <x v="0"/>
    <n v="1"/>
    <s v="Honduras"/>
    <m/>
    <m/>
    <x v="0"/>
    <x v="1"/>
  </r>
  <r>
    <x v="52"/>
    <s v="Latin America and Caribbean"/>
    <x v="0"/>
    <s v="DHS 4, Standard"/>
    <x v="3"/>
    <x v="0"/>
    <n v="0"/>
    <m/>
    <m/>
    <m/>
    <x v="3"/>
    <x v="0"/>
  </r>
  <r>
    <x v="53"/>
    <s v="South Asia"/>
    <x v="0"/>
    <s v="DHS 4, Standard"/>
    <x v="24"/>
    <x v="0"/>
    <n v="1"/>
    <s v="India"/>
    <m/>
    <m/>
    <x v="7"/>
    <x v="1"/>
  </r>
  <r>
    <x v="53"/>
    <s v="South Asia"/>
    <x v="0"/>
    <s v="DHS 4, Standard"/>
    <x v="13"/>
    <x v="0"/>
    <n v="0"/>
    <m/>
    <m/>
    <m/>
    <x v="2"/>
    <x v="0"/>
  </r>
  <r>
    <x v="53"/>
    <s v="South Asia"/>
    <x v="0"/>
    <s v="DHS 4, Standard"/>
    <x v="8"/>
    <x v="0"/>
    <n v="0"/>
    <m/>
    <m/>
    <m/>
    <x v="3"/>
    <x v="0"/>
  </r>
  <r>
    <x v="53"/>
    <s v="South Asia"/>
    <x v="1"/>
    <n v="2"/>
    <x v="1"/>
    <x v="0"/>
    <n v="1"/>
    <s v="India"/>
    <m/>
    <n v="2000"/>
    <x v="0"/>
    <x v="0"/>
  </r>
  <r>
    <x v="53"/>
    <s v="South Asia"/>
    <x v="2"/>
    <s v="Uttar Pradesh and Bihar Survey of Living Condition..."/>
    <x v="17"/>
    <x v="0"/>
    <n v="1"/>
    <s v="India"/>
    <m/>
    <m/>
    <x v="1"/>
    <x v="0"/>
  </r>
  <r>
    <x v="54"/>
    <s v="East Asia and the Pacific"/>
    <x v="0"/>
    <s v="DHS 4, Standard"/>
    <x v="17"/>
    <x v="0"/>
    <n v="0"/>
    <m/>
    <m/>
    <m/>
    <x v="4"/>
    <x v="0"/>
  </r>
  <r>
    <x v="54"/>
    <s v="East Asia and the Pacific"/>
    <x v="0"/>
    <s v="DHS 4, Standard"/>
    <x v="25"/>
    <x v="0"/>
    <n v="1"/>
    <s v="Indonesia"/>
    <m/>
    <m/>
    <x v="10"/>
    <x v="1"/>
  </r>
  <r>
    <x v="54"/>
    <s v="East Asia and the Pacific"/>
    <x v="0"/>
    <s v="DHS 4, MCH SPA"/>
    <x v="23"/>
    <x v="0"/>
    <n v="0"/>
    <m/>
    <m/>
    <m/>
    <x v="12"/>
    <x v="0"/>
  </r>
  <r>
    <x v="54"/>
    <s v="East Asia and the Pacific"/>
    <x v="0"/>
    <s v="DHS 4, Standard"/>
    <x v="16"/>
    <x v="0"/>
    <n v="0"/>
    <m/>
    <m/>
    <m/>
    <x v="8"/>
    <x v="0"/>
  </r>
  <r>
    <x v="54"/>
    <s v="East Asia and the Pacific"/>
    <x v="0"/>
    <s v="DHS 4, Standard"/>
    <x v="6"/>
    <x v="0"/>
    <n v="0"/>
    <m/>
    <m/>
    <m/>
    <x v="5"/>
    <x v="0"/>
  </r>
  <r>
    <x v="54"/>
    <s v="East Asia and the Pacific"/>
    <x v="0"/>
    <s v="DHS 4, Standard"/>
    <x v="2"/>
    <x v="0"/>
    <n v="0"/>
    <m/>
    <m/>
    <m/>
    <x v="6"/>
    <x v="0"/>
  </r>
  <r>
    <x v="54"/>
    <s v="East Asia and the Pacific"/>
    <x v="0"/>
    <s v="DHS 4, Standard"/>
    <x v="14"/>
    <x v="0"/>
    <n v="0"/>
    <m/>
    <m/>
    <m/>
    <x v="7"/>
    <x v="0"/>
  </r>
  <r>
    <x v="54"/>
    <s v="East Asia and the Pacific"/>
    <x v="0"/>
    <s v="DHS 4, Standard"/>
    <x v="14"/>
    <x v="0"/>
    <n v="0"/>
    <m/>
    <m/>
    <m/>
    <x v="1"/>
    <x v="0"/>
  </r>
  <r>
    <x v="54"/>
    <s v="East Asia and the Pacific"/>
    <x v="0"/>
    <s v="DHS 4, Standard"/>
    <x v="9"/>
    <x v="0"/>
    <n v="0"/>
    <m/>
    <m/>
    <m/>
    <x v="3"/>
    <x v="0"/>
  </r>
  <r>
    <x v="54"/>
    <s v="East Asia and the Pacific"/>
    <x v="1"/>
    <n v="2"/>
    <x v="1"/>
    <x v="0"/>
    <n v="1"/>
    <s v="Indonesia"/>
    <m/>
    <n v="2000"/>
    <x v="9"/>
    <x v="0"/>
  </r>
  <r>
    <x v="54"/>
    <s v="East Asia and the Pacific"/>
    <x v="1"/>
    <n v="4"/>
    <x v="3"/>
    <x v="0"/>
    <n v="0"/>
    <s v=""/>
    <s v="Selected districts of Papua"/>
    <n v="2011"/>
    <x v="2"/>
    <x v="0"/>
  </r>
  <r>
    <x v="54"/>
    <s v="East Asia and the Pacific"/>
    <x v="1"/>
    <n v="4"/>
    <x v="3"/>
    <x v="0"/>
    <n v="0"/>
    <s v=""/>
    <s v="Selected districts of West Papua"/>
    <n v="2011"/>
    <x v="0"/>
    <x v="0"/>
  </r>
  <r>
    <x v="55"/>
    <s v="Arab States"/>
    <x v="2"/>
    <s v="Iraq Household Socio-Economic Survey"/>
    <x v="11"/>
    <x v="0"/>
    <n v="1"/>
    <s v="Iraq"/>
    <m/>
    <m/>
    <x v="2"/>
    <x v="0"/>
  </r>
  <r>
    <x v="55"/>
    <s v="Arab States"/>
    <x v="1"/>
    <n v="2"/>
    <x v="1"/>
    <x v="0"/>
    <n v="1"/>
    <s v="Iraq"/>
    <m/>
    <n v="2000"/>
    <x v="1"/>
    <x v="1"/>
  </r>
  <r>
    <x v="55"/>
    <s v="Arab States"/>
    <x v="1"/>
    <n v="3"/>
    <x v="11"/>
    <x v="0"/>
    <n v="0"/>
    <s v=""/>
    <m/>
    <n v="2006"/>
    <x v="0"/>
    <x v="0"/>
  </r>
  <r>
    <x v="55"/>
    <s v="Arab States"/>
    <x v="1"/>
    <n v="4"/>
    <x v="3"/>
    <x v="0"/>
    <n v="0"/>
    <s v=""/>
    <m/>
    <n v="2011"/>
    <x v="3"/>
    <x v="0"/>
  </r>
  <r>
    <x v="56"/>
    <s v="Latin America and Caribbean"/>
    <x v="2"/>
    <s v="Survey of Living Conditions"/>
    <x v="21"/>
    <x v="0"/>
    <n v="1"/>
    <s v="Jamaica"/>
    <m/>
    <m/>
    <x v="20"/>
    <x v="1"/>
  </r>
  <r>
    <x v="56"/>
    <s v="Latin America and Caribbean"/>
    <x v="2"/>
    <s v="Survey of Living Conditions"/>
    <x v="19"/>
    <x v="0"/>
    <n v="0"/>
    <m/>
    <m/>
    <m/>
    <x v="21"/>
    <x v="0"/>
  </r>
  <r>
    <x v="56"/>
    <s v="Latin America and Caribbean"/>
    <x v="2"/>
    <s v="Survey of Living Conditions"/>
    <x v="19"/>
    <x v="0"/>
    <n v="0"/>
    <m/>
    <m/>
    <m/>
    <x v="22"/>
    <x v="0"/>
  </r>
  <r>
    <x v="56"/>
    <s v="Latin America and Caribbean"/>
    <x v="2"/>
    <s v="Survey of Living Conditions"/>
    <x v="26"/>
    <x v="0"/>
    <n v="0"/>
    <m/>
    <m/>
    <m/>
    <x v="23"/>
    <x v="0"/>
  </r>
  <r>
    <x v="56"/>
    <s v="Latin America and Caribbean"/>
    <x v="2"/>
    <s v="Survey of Living Conditions"/>
    <x v="23"/>
    <x v="0"/>
    <n v="0"/>
    <m/>
    <m/>
    <m/>
    <x v="24"/>
    <x v="0"/>
  </r>
  <r>
    <x v="56"/>
    <s v="Latin America and Caribbean"/>
    <x v="2"/>
    <s v="Survey of Living Conditions"/>
    <x v="28"/>
    <x v="0"/>
    <n v="0"/>
    <m/>
    <m/>
    <m/>
    <x v="16"/>
    <x v="0"/>
  </r>
  <r>
    <x v="56"/>
    <s v="Latin America and Caribbean"/>
    <x v="2"/>
    <s v="Survey of Living Conditions"/>
    <x v="24"/>
    <x v="0"/>
    <n v="0"/>
    <m/>
    <m/>
    <m/>
    <x v="14"/>
    <x v="0"/>
  </r>
  <r>
    <x v="56"/>
    <s v="Latin America and Caribbean"/>
    <x v="2"/>
    <s v="Survey of Living Conditions"/>
    <x v="16"/>
    <x v="0"/>
    <n v="0"/>
    <m/>
    <m/>
    <m/>
    <x v="17"/>
    <x v="0"/>
  </r>
  <r>
    <x v="56"/>
    <s v="Latin America and Caribbean"/>
    <x v="2"/>
    <s v="Survey of Living Conditions"/>
    <x v="10"/>
    <x v="0"/>
    <n v="0"/>
    <m/>
    <m/>
    <m/>
    <x v="18"/>
    <x v="0"/>
  </r>
  <r>
    <x v="56"/>
    <s v="Latin America and Caribbean"/>
    <x v="2"/>
    <s v="Survey of Living Conditions"/>
    <x v="5"/>
    <x v="0"/>
    <n v="0"/>
    <m/>
    <m/>
    <m/>
    <x v="15"/>
    <x v="0"/>
  </r>
  <r>
    <x v="56"/>
    <s v="Latin America and Caribbean"/>
    <x v="2"/>
    <s v="Survey of Living Conditions"/>
    <x v="20"/>
    <x v="0"/>
    <n v="0"/>
    <m/>
    <m/>
    <m/>
    <x v="13"/>
    <x v="0"/>
  </r>
  <r>
    <x v="56"/>
    <s v="Latin America and Caribbean"/>
    <x v="2"/>
    <s v="Survey of Living Conditions"/>
    <x v="13"/>
    <x v="0"/>
    <n v="0"/>
    <m/>
    <m/>
    <m/>
    <x v="11"/>
    <x v="0"/>
  </r>
  <r>
    <x v="56"/>
    <s v="Latin America and Caribbean"/>
    <x v="2"/>
    <s v="Survey of Living Conditions"/>
    <x v="1"/>
    <x v="0"/>
    <n v="0"/>
    <m/>
    <m/>
    <m/>
    <x v="10"/>
    <x v="0"/>
  </r>
  <r>
    <x v="56"/>
    <s v="Latin America and Caribbean"/>
    <x v="2"/>
    <s v="Survey of Living Conditions"/>
    <x v="12"/>
    <x v="0"/>
    <n v="0"/>
    <m/>
    <m/>
    <n v="2001"/>
    <x v="8"/>
    <x v="0"/>
  </r>
  <r>
    <x v="56"/>
    <s v="Latin America and Caribbean"/>
    <x v="2"/>
    <s v="Survey of Living Conditions"/>
    <x v="6"/>
    <x v="0"/>
    <n v="0"/>
    <m/>
    <m/>
    <n v="2002"/>
    <x v="4"/>
    <x v="0"/>
  </r>
  <r>
    <x v="56"/>
    <s v="Latin America and Caribbean"/>
    <x v="2"/>
    <s v="Survey of Living Conditions"/>
    <x v="2"/>
    <x v="0"/>
    <n v="0"/>
    <m/>
    <m/>
    <n v="2003"/>
    <x v="9"/>
    <x v="0"/>
  </r>
  <r>
    <x v="56"/>
    <s v="Latin America and Caribbean"/>
    <x v="2"/>
    <s v="Survey of Living Conditions"/>
    <x v="7"/>
    <x v="0"/>
    <n v="0"/>
    <m/>
    <m/>
    <n v="2004"/>
    <x v="5"/>
    <x v="0"/>
  </r>
  <r>
    <x v="56"/>
    <s v="Latin America and Caribbean"/>
    <x v="2"/>
    <s v="Survey of Living Conditions"/>
    <x v="11"/>
    <x v="0"/>
    <n v="0"/>
    <m/>
    <m/>
    <n v="2006"/>
    <x v="7"/>
    <x v="0"/>
  </r>
  <r>
    <x v="56"/>
    <s v="Latin America and Caribbean"/>
    <x v="2"/>
    <s v="Survey of Living Conditions"/>
    <x v="14"/>
    <x v="0"/>
    <n v="0"/>
    <m/>
    <m/>
    <n v="2007"/>
    <x v="1"/>
    <x v="0"/>
  </r>
  <r>
    <x v="56"/>
    <s v="Latin America and Caribbean"/>
    <x v="2"/>
    <s v="Survey of Living Conditions"/>
    <x v="4"/>
    <x v="0"/>
    <n v="0"/>
    <m/>
    <m/>
    <n v="2008"/>
    <x v="2"/>
    <x v="0"/>
  </r>
  <r>
    <x v="56"/>
    <s v="Latin America and Caribbean"/>
    <x v="2"/>
    <s v="Survey of Living Conditions"/>
    <x v="15"/>
    <x v="0"/>
    <n v="0"/>
    <m/>
    <m/>
    <n v="2009"/>
    <x v="0"/>
    <x v="0"/>
  </r>
  <r>
    <x v="56"/>
    <s v="Latin America and Caribbean"/>
    <x v="1"/>
    <n v="2"/>
    <x v="1"/>
    <x v="0"/>
    <n v="1"/>
    <s v="Jamaica"/>
    <m/>
    <n v="2000"/>
    <x v="12"/>
    <x v="0"/>
  </r>
  <r>
    <x v="56"/>
    <s v="Latin America and Caribbean"/>
    <x v="1"/>
    <n v="3"/>
    <x v="8"/>
    <x v="0"/>
    <n v="0"/>
    <s v=""/>
    <m/>
    <n v="2005"/>
    <x v="6"/>
    <x v="0"/>
  </r>
  <r>
    <x v="56"/>
    <s v="Latin America and Caribbean"/>
    <x v="1"/>
    <n v="4"/>
    <x v="3"/>
    <x v="0"/>
    <n v="0"/>
    <m/>
    <m/>
    <m/>
    <x v="3"/>
    <x v="0"/>
  </r>
  <r>
    <x v="56"/>
    <s v="Latin America and Caribbean"/>
    <x v="2"/>
    <s v="Survey of Living Conditions"/>
    <x v="17"/>
    <x v="0"/>
    <n v="0"/>
    <m/>
    <m/>
    <m/>
    <x v="19"/>
    <x v="0"/>
  </r>
  <r>
    <x v="57"/>
    <s v="Arab States"/>
    <x v="0"/>
    <s v="DHS 4, Standard"/>
    <x v="17"/>
    <x v="0"/>
    <n v="0"/>
    <m/>
    <m/>
    <m/>
    <x v="7"/>
    <x v="0"/>
  </r>
  <r>
    <x v="57"/>
    <s v="Arab States"/>
    <x v="0"/>
    <s v="DHS Other, Standard"/>
    <x v="26"/>
    <x v="0"/>
    <n v="1"/>
    <s v="Jordan"/>
    <m/>
    <m/>
    <x v="6"/>
    <x v="1"/>
  </r>
  <r>
    <x v="57"/>
    <s v="Arab States"/>
    <x v="0"/>
    <s v="DHS 4, Standard"/>
    <x v="6"/>
    <x v="0"/>
    <n v="0"/>
    <m/>
    <m/>
    <m/>
    <x v="1"/>
    <x v="0"/>
  </r>
  <r>
    <x v="57"/>
    <s v="Arab States"/>
    <x v="0"/>
    <s v="DHS 4, Standard"/>
    <x v="14"/>
    <x v="0"/>
    <n v="0"/>
    <m/>
    <m/>
    <m/>
    <x v="2"/>
    <x v="0"/>
  </r>
  <r>
    <x v="57"/>
    <s v="Arab States"/>
    <x v="0"/>
    <s v="DHS 4, Standard"/>
    <x v="15"/>
    <x v="0"/>
    <n v="0"/>
    <m/>
    <m/>
    <m/>
    <x v="0"/>
    <x v="0"/>
  </r>
  <r>
    <x v="57"/>
    <s v="Arab States"/>
    <x v="0"/>
    <s v="DHS 4, Standard"/>
    <x v="9"/>
    <x v="0"/>
    <n v="0"/>
    <m/>
    <m/>
    <m/>
    <x v="3"/>
    <x v="0"/>
  </r>
  <r>
    <x v="58"/>
    <s v="Europe and Central Asia"/>
    <x v="0"/>
    <s v="DHS 4, Special"/>
    <x v="10"/>
    <x v="0"/>
    <n v="1"/>
    <s v="Kazakhstan"/>
    <m/>
    <m/>
    <x v="7"/>
    <x v="1"/>
  </r>
  <r>
    <x v="58"/>
    <s v="Europe and Central Asia"/>
    <x v="0"/>
    <s v="DHS 4, Standard"/>
    <x v="13"/>
    <x v="0"/>
    <n v="0"/>
    <m/>
    <m/>
    <m/>
    <x v="2"/>
    <x v="0"/>
  </r>
  <r>
    <x v="58"/>
    <s v="Europe and Central Asia"/>
    <x v="2"/>
    <s v="Living Standards Measurement Survey"/>
    <x v="5"/>
    <x v="0"/>
    <n v="1"/>
    <s v="Kazakhstan"/>
    <m/>
    <m/>
    <x v="1"/>
    <x v="0"/>
  </r>
  <r>
    <x v="58"/>
    <s v="Europe and Central Asia"/>
    <x v="1"/>
    <n v="3"/>
    <x v="11"/>
    <x v="0"/>
    <n v="1"/>
    <s v="Kazakhstan"/>
    <m/>
    <n v="2006"/>
    <x v="0"/>
    <x v="0"/>
  </r>
  <r>
    <x v="58"/>
    <s v="Europe and Central Asia"/>
    <x v="1"/>
    <n v="4"/>
    <x v="3"/>
    <x v="0"/>
    <n v="0"/>
    <s v=""/>
    <m/>
    <n v="2010"/>
    <x v="3"/>
    <x v="0"/>
  </r>
  <r>
    <x v="59"/>
    <s v="Sub-Saharan Africa"/>
    <x v="4"/>
    <s v="Welfare Monitary Survey"/>
    <x v="17"/>
    <x v="0"/>
    <n v="0"/>
    <m/>
    <m/>
    <m/>
    <x v="15"/>
    <x v="0"/>
  </r>
  <r>
    <x v="59"/>
    <s v="Sub-Saharan Africa"/>
    <x v="0"/>
    <s v="DHS 4, Standard"/>
    <x v="19"/>
    <x v="0"/>
    <n v="1"/>
    <s v="Kenya"/>
    <m/>
    <m/>
    <x v="13"/>
    <x v="1"/>
  </r>
  <r>
    <x v="59"/>
    <s v="Sub-Saharan Africa"/>
    <x v="0"/>
    <s v="DHS 4, Standard"/>
    <x v="24"/>
    <x v="0"/>
    <n v="0"/>
    <m/>
    <m/>
    <m/>
    <x v="11"/>
    <x v="0"/>
  </r>
  <r>
    <x v="59"/>
    <s v="Sub-Saharan Africa"/>
    <x v="0"/>
    <s v="DHS 4, Standard"/>
    <x v="20"/>
    <x v="0"/>
    <n v="0"/>
    <m/>
    <m/>
    <m/>
    <x v="10"/>
    <x v="0"/>
  </r>
  <r>
    <x v="59"/>
    <s v="Sub-Saharan Africa"/>
    <x v="0"/>
    <s v="DHS 4, MCH SPA"/>
    <x v="13"/>
    <x v="0"/>
    <n v="0"/>
    <m/>
    <m/>
    <m/>
    <x v="12"/>
    <x v="0"/>
  </r>
  <r>
    <x v="59"/>
    <s v="Sub-Saharan Africa"/>
    <x v="0"/>
    <s v="DHS 4, Standard"/>
    <x v="2"/>
    <x v="0"/>
    <n v="0"/>
    <m/>
    <m/>
    <m/>
    <x v="4"/>
    <x v="0"/>
  </r>
  <r>
    <x v="59"/>
    <s v="Sub-Saharan Africa"/>
    <x v="0"/>
    <s v="DHS 4, MCH SPA"/>
    <x v="7"/>
    <x v="0"/>
    <n v="0"/>
    <m/>
    <m/>
    <m/>
    <x v="9"/>
    <x v="0"/>
  </r>
  <r>
    <x v="59"/>
    <s v="Sub-Saharan Africa"/>
    <x v="0"/>
    <s v="DHS 4, Standard"/>
    <x v="4"/>
    <x v="0"/>
    <n v="0"/>
    <m/>
    <m/>
    <m/>
    <x v="5"/>
    <x v="0"/>
  </r>
  <r>
    <x v="59"/>
    <s v="Sub-Saharan Africa"/>
    <x v="0"/>
    <s v="DHS 4, MCH SPA"/>
    <x v="0"/>
    <x v="0"/>
    <n v="0"/>
    <m/>
    <m/>
    <m/>
    <x v="1"/>
    <x v="0"/>
  </r>
  <r>
    <x v="59"/>
    <s v="Sub-Saharan Africa"/>
    <x v="0"/>
    <s v="DHS 4, Standard"/>
    <x v="0"/>
    <x v="0"/>
    <n v="0"/>
    <m/>
    <m/>
    <m/>
    <x v="2"/>
    <x v="0"/>
  </r>
  <r>
    <x v="59"/>
    <s v="Sub-Saharan Africa"/>
    <x v="1"/>
    <n v="2"/>
    <x v="1"/>
    <x v="0"/>
    <n v="1"/>
    <s v="Kenya"/>
    <m/>
    <n v="2000"/>
    <x v="8"/>
    <x v="0"/>
  </r>
  <r>
    <x v="59"/>
    <s v="Sub-Saharan Africa"/>
    <x v="1"/>
    <n v="3"/>
    <x v="4"/>
    <x v="0"/>
    <n v="0"/>
    <s v=""/>
    <s v="Eastern province"/>
    <n v="2008"/>
    <x v="6"/>
    <x v="0"/>
  </r>
  <r>
    <x v="59"/>
    <s v="Sub-Saharan Africa"/>
    <x v="1"/>
    <n v="4"/>
    <x v="15"/>
    <x v="0"/>
    <n v="0"/>
    <s v=""/>
    <s v="Mombasa informal settlements"/>
    <n v="2009"/>
    <x v="7"/>
    <x v="0"/>
  </r>
  <r>
    <x v="59"/>
    <s v="Sub-Saharan Africa"/>
    <x v="1"/>
    <n v="4"/>
    <x v="3"/>
    <x v="0"/>
    <n v="0"/>
    <m/>
    <m/>
    <m/>
    <x v="0"/>
    <x v="0"/>
  </r>
  <r>
    <x v="59"/>
    <s v="Sub-Saharan Africa"/>
    <x v="1"/>
    <n v="5"/>
    <x v="29"/>
    <x v="0"/>
    <n v="0"/>
    <m/>
    <m/>
    <n v="2013"/>
    <x v="3"/>
    <x v="0"/>
  </r>
  <r>
    <x v="59"/>
    <s v="Sub-Saharan Africa"/>
    <x v="4"/>
    <s v="Welfare Monitoring Survey:CWIQ, First Round"/>
    <x v="28"/>
    <x v="0"/>
    <n v="1"/>
    <s v="Kenya"/>
    <m/>
    <m/>
    <x v="19"/>
    <x v="0"/>
  </r>
  <r>
    <x v="59"/>
    <s v="Sub-Saharan Africa"/>
    <x v="2"/>
    <s v="Integrated Household Budget Survey"/>
    <x v="11"/>
    <x v="0"/>
    <n v="1"/>
    <s v="Kenya"/>
    <m/>
    <m/>
    <x v="18"/>
    <x v="0"/>
  </r>
  <r>
    <x v="60"/>
    <s v="East Asia and the Pacific"/>
    <x v="1"/>
    <n v="2"/>
    <x v="1"/>
    <x v="0"/>
    <n v="1"/>
    <s v="Korea, Democratic People's Republic of"/>
    <m/>
    <n v="2000"/>
    <x v="0"/>
    <x v="1"/>
  </r>
  <r>
    <x v="60"/>
    <s v="East Asia and the Pacific"/>
    <x v="1"/>
    <n v="4"/>
    <x v="15"/>
    <x v="0"/>
    <n v="0"/>
    <s v=""/>
    <m/>
    <n v="2009"/>
    <x v="3"/>
    <x v="0"/>
  </r>
  <r>
    <x v="61"/>
    <s v="Europe and Central Asia"/>
    <x v="1"/>
    <n v="5"/>
    <x v="29"/>
    <x v="0"/>
    <n v="1"/>
    <s v="Kosovo (UNSCR 1244/99)"/>
    <m/>
    <m/>
    <x v="3"/>
    <x v="1"/>
  </r>
  <r>
    <x v="62"/>
    <s v="Europe and Central Asia"/>
    <x v="1"/>
    <n v="5"/>
    <x v="29"/>
    <x v="0"/>
    <n v="0"/>
    <s v=""/>
    <m/>
    <m/>
    <x v="0"/>
    <x v="0"/>
  </r>
  <r>
    <x v="63"/>
    <s v="Europe and Central Asia"/>
    <x v="0"/>
    <s v="DHS 4, Standard"/>
    <x v="17"/>
    <x v="0"/>
    <n v="1"/>
    <s v="Kyrgyzstan"/>
    <m/>
    <m/>
    <x v="11"/>
    <x v="0"/>
  </r>
  <r>
    <x v="63"/>
    <s v="Europe and Central Asia"/>
    <x v="0"/>
    <s v="DHS 4, Standard"/>
    <x v="9"/>
    <x v="0"/>
    <n v="0"/>
    <m/>
    <m/>
    <m/>
    <x v="3"/>
    <x v="0"/>
  </r>
  <r>
    <x v="63"/>
    <s v="Europe and Central Asia"/>
    <x v="5"/>
    <s v="ILCS"/>
    <x v="8"/>
    <x v="0"/>
    <n v="1"/>
    <s v="Kyrgyzstan"/>
    <m/>
    <m/>
    <x v="8"/>
    <x v="0"/>
  </r>
  <r>
    <x v="63"/>
    <s v="Europe and Central Asia"/>
    <x v="5"/>
    <s v="ILCS"/>
    <x v="11"/>
    <x v="0"/>
    <n v="0"/>
    <m/>
    <m/>
    <m/>
    <x v="9"/>
    <x v="0"/>
  </r>
  <r>
    <x v="63"/>
    <s v="Europe and Central Asia"/>
    <x v="5"/>
    <s v="ILCS"/>
    <x v="14"/>
    <x v="0"/>
    <n v="0"/>
    <m/>
    <m/>
    <m/>
    <x v="5"/>
    <x v="0"/>
  </r>
  <r>
    <x v="63"/>
    <s v="Europe and Central Asia"/>
    <x v="5"/>
    <s v="ILCS"/>
    <x v="4"/>
    <x v="0"/>
    <n v="0"/>
    <m/>
    <m/>
    <m/>
    <x v="6"/>
    <x v="0"/>
  </r>
  <r>
    <x v="63"/>
    <s v="Europe and Central Asia"/>
    <x v="5"/>
    <s v="ILCS"/>
    <x v="15"/>
    <x v="0"/>
    <n v="0"/>
    <m/>
    <m/>
    <m/>
    <x v="7"/>
    <x v="0"/>
  </r>
  <r>
    <x v="63"/>
    <s v="Europe and Central Asia"/>
    <x v="5"/>
    <s v="ILCS"/>
    <x v="0"/>
    <x v="0"/>
    <n v="0"/>
    <m/>
    <m/>
    <m/>
    <x v="1"/>
    <x v="0"/>
  </r>
  <r>
    <x v="63"/>
    <s v="Europe and Central Asia"/>
    <x v="5"/>
    <s v="ILCS"/>
    <x v="3"/>
    <x v="0"/>
    <n v="0"/>
    <m/>
    <m/>
    <m/>
    <x v="2"/>
    <x v="0"/>
  </r>
  <r>
    <x v="63"/>
    <s v="Europe and Central Asia"/>
    <x v="5"/>
    <s v="ILCS"/>
    <x v="9"/>
    <x v="0"/>
    <n v="0"/>
    <m/>
    <m/>
    <m/>
    <x v="0"/>
    <x v="0"/>
  </r>
  <r>
    <x v="63"/>
    <s v="Europe and Central Asia"/>
    <x v="2"/>
    <s v="Living Standards Survey"/>
    <x v="24"/>
    <x v="0"/>
    <n v="1"/>
    <s v="Kyrgyzstan"/>
    <m/>
    <m/>
    <x v="19"/>
    <x v="1"/>
  </r>
  <r>
    <x v="63"/>
    <s v="Europe and Central Asia"/>
    <x v="2"/>
    <s v="Living Standards Survey"/>
    <x v="5"/>
    <x v="0"/>
    <n v="0"/>
    <m/>
    <m/>
    <m/>
    <x v="13"/>
    <x v="0"/>
  </r>
  <r>
    <x v="63"/>
    <s v="Europe and Central Asia"/>
    <x v="2"/>
    <s v="Living Standards Survey"/>
    <x v="20"/>
    <x v="0"/>
    <n v="0"/>
    <m/>
    <m/>
    <m/>
    <x v="12"/>
    <x v="0"/>
  </r>
  <r>
    <x v="63"/>
    <s v="Europe and Central Asia"/>
    <x v="1"/>
    <n v="3"/>
    <x v="11"/>
    <x v="0"/>
    <n v="1"/>
    <s v="Kyrgyzstan"/>
    <m/>
    <n v="2005"/>
    <x v="4"/>
    <x v="0"/>
  </r>
  <r>
    <x v="63"/>
    <s v="Europe and Central Asia"/>
    <x v="2"/>
    <s v="Living Standards Survey"/>
    <x v="17"/>
    <x v="0"/>
    <n v="0"/>
    <m/>
    <m/>
    <m/>
    <x v="10"/>
    <x v="0"/>
  </r>
  <r>
    <x v="64"/>
    <s v="East Asia and the Pacific"/>
    <x v="0"/>
    <s v="DHS 4, Standard"/>
    <x v="3"/>
    <x v="0"/>
    <n v="1"/>
    <s v="Lao People's Democratic Republic"/>
    <m/>
    <m/>
    <x v="0"/>
    <x v="0"/>
  </r>
  <r>
    <x v="64"/>
    <s v="East Asia and the Pacific"/>
    <x v="1"/>
    <n v="2"/>
    <x v="1"/>
    <x v="0"/>
    <n v="1"/>
    <s v="Lao People's Democratic Republic"/>
    <m/>
    <n v="2000"/>
    <x v="1"/>
    <x v="1"/>
  </r>
  <r>
    <x v="64"/>
    <s v="East Asia and the Pacific"/>
    <x v="1"/>
    <n v="3"/>
    <x v="11"/>
    <x v="0"/>
    <n v="0"/>
    <s v=""/>
    <m/>
    <n v="2006"/>
    <x v="2"/>
    <x v="0"/>
  </r>
  <r>
    <x v="64"/>
    <s v="East Asia and the Pacific"/>
    <x v="1"/>
    <n v="4"/>
    <x v="9"/>
    <x v="0"/>
    <n v="0"/>
    <s v=""/>
    <m/>
    <n v="2011"/>
    <x v="3"/>
    <x v="0"/>
  </r>
  <r>
    <x v="65"/>
    <s v="Arab States"/>
    <x v="1"/>
    <n v="2"/>
    <x v="1"/>
    <x v="0"/>
    <n v="1"/>
    <s v="Lebanon"/>
    <m/>
    <n v="2000"/>
    <x v="1"/>
    <x v="1"/>
  </r>
  <r>
    <x v="65"/>
    <s v="Arab States"/>
    <x v="1"/>
    <n v="3"/>
    <x v="11"/>
    <x v="0"/>
    <n v="0"/>
    <s v=""/>
    <s v="Palestinians"/>
    <n v="2006"/>
    <x v="0"/>
    <x v="0"/>
  </r>
  <r>
    <x v="65"/>
    <s v="Arab States"/>
    <x v="1"/>
    <n v="4"/>
    <x v="3"/>
    <x v="0"/>
    <n v="0"/>
    <s v=""/>
    <s v="Palestinians"/>
    <n v="2011"/>
    <x v="3"/>
    <x v="0"/>
  </r>
  <r>
    <x v="65"/>
    <s v="Arab States"/>
    <x v="3"/>
    <s v="Lebanese Family Health Survey (LFHS)"/>
    <x v="6"/>
    <x v="0"/>
    <n v="1"/>
    <s v="Lebanon"/>
    <m/>
    <n v="2002"/>
    <x v="2"/>
    <x v="0"/>
  </r>
  <r>
    <x v="66"/>
    <s v="Sub-Saharan Africa"/>
    <x v="0"/>
    <s v="DHS 4, Standard"/>
    <x v="7"/>
    <x v="0"/>
    <n v="1"/>
    <s v="Lesotho"/>
    <m/>
    <m/>
    <x v="0"/>
    <x v="0"/>
  </r>
  <r>
    <x v="66"/>
    <s v="Sub-Saharan Africa"/>
    <x v="0"/>
    <s v="DHS 4, Standard"/>
    <x v="15"/>
    <x v="0"/>
    <n v="0"/>
    <m/>
    <m/>
    <m/>
    <x v="3"/>
    <x v="0"/>
  </r>
  <r>
    <x v="66"/>
    <s v="Sub-Saharan Africa"/>
    <x v="1"/>
    <n v="2"/>
    <x v="1"/>
    <x v="0"/>
    <n v="1"/>
    <s v="Lesotho"/>
    <m/>
    <n v="2000"/>
    <x v="2"/>
    <x v="1"/>
  </r>
  <r>
    <x v="66"/>
    <s v="Sub-Saharan Africa"/>
    <x v="4"/>
    <s v="CWIQ"/>
    <x v="6"/>
    <x v="0"/>
    <n v="1"/>
    <s v="Lesotho"/>
    <m/>
    <m/>
    <x v="1"/>
    <x v="0"/>
  </r>
  <r>
    <x v="67"/>
    <s v="Subsaharan Africa"/>
    <x v="4"/>
    <s v="CWIQ"/>
    <x v="14"/>
    <x v="0"/>
    <n v="1"/>
    <s v="Liberia"/>
    <m/>
    <m/>
    <x v="6"/>
    <x v="0"/>
  </r>
  <r>
    <x v="67"/>
    <s v="Subsaharan Africa"/>
    <x v="4"/>
    <s v="CWIQ"/>
    <x v="0"/>
    <x v="0"/>
    <n v="0"/>
    <m/>
    <m/>
    <m/>
    <x v="2"/>
    <x v="0"/>
  </r>
  <r>
    <x v="67"/>
    <s v="Subsaharan Africa"/>
    <x v="0"/>
    <s v="DHS 4, Standard"/>
    <x v="22"/>
    <x v="0"/>
    <n v="1"/>
    <s v="Liberia"/>
    <m/>
    <m/>
    <x v="9"/>
    <x v="1"/>
  </r>
  <r>
    <x v="67"/>
    <s v="Subsaharan Africa"/>
    <x v="0"/>
    <s v="DHS 4, Special"/>
    <x v="14"/>
    <x v="0"/>
    <n v="0"/>
    <m/>
    <m/>
    <m/>
    <x v="7"/>
    <x v="0"/>
  </r>
  <r>
    <x v="67"/>
    <s v="Subsaharan Africa"/>
    <x v="0"/>
    <s v="DHS 4, Standard"/>
    <x v="15"/>
    <x v="0"/>
    <n v="0"/>
    <m/>
    <m/>
    <m/>
    <x v="1"/>
    <x v="0"/>
  </r>
  <r>
    <x v="67"/>
    <s v="Subsaharan Africa"/>
    <x v="0"/>
    <s v="DHS 4, Standard"/>
    <x v="3"/>
    <x v="0"/>
    <n v="0"/>
    <s v=""/>
    <m/>
    <m/>
    <x v="0"/>
    <x v="0"/>
  </r>
  <r>
    <x v="67"/>
    <s v="Subsaharan Africa"/>
    <x v="0"/>
    <s v="DHS 4, Interim"/>
    <x v="18"/>
    <x v="0"/>
    <n v="0"/>
    <m/>
    <m/>
    <m/>
    <x v="3"/>
    <x v="0"/>
  </r>
  <r>
    <x v="67"/>
    <s v="Subsaharan Africa"/>
    <x v="1"/>
    <n v="1"/>
    <x v="10"/>
    <x v="0"/>
    <n v="1"/>
    <s v="Liberia"/>
    <m/>
    <n v="1995"/>
    <x v="5"/>
    <x v="0"/>
  </r>
  <r>
    <x v="68"/>
    <s v="Arab States"/>
    <x v="3"/>
    <s v="National Libyan Family Health Survey"/>
    <x v="6"/>
    <x v="0"/>
    <n v="1"/>
    <s v="Lybia"/>
    <m/>
    <m/>
    <x v="3"/>
    <x v="1"/>
  </r>
  <r>
    <x v="69"/>
    <s v="Europe and Central Asia"/>
    <x v="1"/>
    <n v="3"/>
    <x v="8"/>
    <x v="0"/>
    <n v="1"/>
    <s v="Macedonia"/>
    <m/>
    <n v="2005"/>
    <x v="2"/>
    <x v="1"/>
  </r>
  <r>
    <x v="69"/>
    <s v="Europe and Central Asia"/>
    <x v="1"/>
    <n v="4"/>
    <x v="3"/>
    <x v="0"/>
    <n v="0"/>
    <s v=""/>
    <m/>
    <n v="2011"/>
    <x v="0"/>
    <x v="0"/>
  </r>
  <r>
    <x v="69"/>
    <s v="Europe and Central Asia"/>
    <x v="1"/>
    <n v="4"/>
    <x v="3"/>
    <x v="0"/>
    <n v="0"/>
    <s v=""/>
    <s v="Roman settlements"/>
    <n v="2011"/>
    <x v="3"/>
    <x v="0"/>
  </r>
  <r>
    <x v="70"/>
    <s v="Sub-Saharan Africa"/>
    <x v="0"/>
    <s v="DHS 4, Standard"/>
    <x v="17"/>
    <x v="0"/>
    <n v="0"/>
    <m/>
    <m/>
    <m/>
    <x v="5"/>
    <x v="0"/>
  </r>
  <r>
    <x v="70"/>
    <s v="Sub-Saharan Africa"/>
    <x v="0"/>
    <s v="DHS Other, Special"/>
    <x v="28"/>
    <x v="0"/>
    <n v="1"/>
    <s v="Madagascar"/>
    <m/>
    <m/>
    <x v="9"/>
    <x v="1"/>
  </r>
  <r>
    <x v="70"/>
    <s v="Sub-Saharan Africa"/>
    <x v="0"/>
    <s v="DHS 4, Standard"/>
    <x v="7"/>
    <x v="0"/>
    <n v="0"/>
    <m/>
    <m/>
    <m/>
    <x v="7"/>
    <x v="0"/>
  </r>
  <r>
    <x v="70"/>
    <s v="Sub-Saharan Africa"/>
    <x v="0"/>
    <s v="DHS 4, Standard"/>
    <x v="4"/>
    <x v="0"/>
    <n v="0"/>
    <m/>
    <m/>
    <m/>
    <x v="1"/>
    <x v="0"/>
  </r>
  <r>
    <x v="70"/>
    <s v="Sub-Saharan Africa"/>
    <x v="0"/>
    <s v="DHS 4, Standard"/>
    <x v="3"/>
    <x v="0"/>
    <n v="0"/>
    <m/>
    <m/>
    <m/>
    <x v="2"/>
    <x v="0"/>
  </r>
  <r>
    <x v="70"/>
    <s v="Sub-Saharan Africa"/>
    <x v="0"/>
    <s v="DHS 4, Standard"/>
    <x v="18"/>
    <x v="0"/>
    <n v="0"/>
    <m/>
    <m/>
    <m/>
    <x v="3"/>
    <x v="0"/>
  </r>
  <r>
    <x v="70"/>
    <s v="Sub-Saharan Africa"/>
    <x v="1"/>
    <n v="2"/>
    <x v="1"/>
    <x v="0"/>
    <n v="1"/>
    <s v="Madagascar"/>
    <m/>
    <n v="2000"/>
    <x v="6"/>
    <x v="0"/>
  </r>
  <r>
    <x v="70"/>
    <s v="Sub-Saharan Africa"/>
    <x v="1"/>
    <n v="4"/>
    <x v="9"/>
    <x v="0"/>
    <n v="0"/>
    <m/>
    <m/>
    <m/>
    <x v="0"/>
    <x v="0"/>
  </r>
  <r>
    <x v="71"/>
    <s v="Sub-Saharan Africa"/>
    <x v="4"/>
    <s v="CWIQ"/>
    <x v="6"/>
    <x v="0"/>
    <n v="1"/>
    <s v="Malawi"/>
    <m/>
    <m/>
    <x v="19"/>
    <x v="0"/>
  </r>
  <r>
    <x v="71"/>
    <s v="Sub-Saharan Africa"/>
    <x v="4"/>
    <s v="Welfare Monitoring Survey:CWIQ"/>
    <x v="8"/>
    <x v="0"/>
    <n v="0"/>
    <m/>
    <m/>
    <m/>
    <x v="10"/>
    <x v="0"/>
  </r>
  <r>
    <x v="71"/>
    <s v="Sub-Saharan Africa"/>
    <x v="4"/>
    <s v="Welfare Monitoring Survey:CWIQ"/>
    <x v="11"/>
    <x v="0"/>
    <n v="0"/>
    <m/>
    <m/>
    <m/>
    <x v="12"/>
    <x v="0"/>
  </r>
  <r>
    <x v="71"/>
    <s v="Sub-Saharan Africa"/>
    <x v="4"/>
    <s v="Welfare Monitoring Survey:CWIQ"/>
    <x v="14"/>
    <x v="0"/>
    <n v="0"/>
    <m/>
    <m/>
    <m/>
    <x v="4"/>
    <x v="0"/>
  </r>
  <r>
    <x v="71"/>
    <s v="Sub-Saharan Africa"/>
    <x v="4"/>
    <s v="Welfare Monitoring Survey:CWIQ"/>
    <x v="4"/>
    <x v="0"/>
    <n v="0"/>
    <m/>
    <m/>
    <m/>
    <x v="9"/>
    <x v="0"/>
  </r>
  <r>
    <x v="71"/>
    <s v="Sub-Saharan Africa"/>
    <x v="4"/>
    <s v="Welfare Monitoring Survey:CWIQ"/>
    <x v="15"/>
    <x v="0"/>
    <n v="0"/>
    <m/>
    <m/>
    <m/>
    <x v="5"/>
    <x v="0"/>
  </r>
  <r>
    <x v="71"/>
    <s v="Sub-Saharan Africa"/>
    <x v="4"/>
    <s v="Welfare Monitoring Survey:CWIQ"/>
    <x v="9"/>
    <x v="0"/>
    <n v="0"/>
    <m/>
    <m/>
    <n v="2011"/>
    <x v="6"/>
    <x v="0"/>
  </r>
  <r>
    <x v="71"/>
    <s v="Sub-Saharan Africa"/>
    <x v="0"/>
    <s v="DHS 4, Standard AIS"/>
    <x v="28"/>
    <x v="0"/>
    <n v="1"/>
    <s v="Malawi"/>
    <m/>
    <m/>
    <x v="16"/>
    <x v="1"/>
  </r>
  <r>
    <x v="71"/>
    <s v="Sub-Saharan Africa"/>
    <x v="0"/>
    <s v="DHS 4, Standard"/>
    <x v="5"/>
    <x v="0"/>
    <n v="0"/>
    <m/>
    <m/>
    <m/>
    <x v="18"/>
    <x v="0"/>
  </r>
  <r>
    <x v="71"/>
    <s v="Sub-Saharan Africa"/>
    <x v="0"/>
    <s v="DHS 4, Standard"/>
    <x v="1"/>
    <x v="0"/>
    <n v="0"/>
    <m/>
    <m/>
    <m/>
    <x v="15"/>
    <x v="0"/>
  </r>
  <r>
    <x v="71"/>
    <s v="Sub-Saharan Africa"/>
    <x v="0"/>
    <s v="DHS 4, Standard"/>
    <x v="7"/>
    <x v="0"/>
    <n v="0"/>
    <m/>
    <m/>
    <m/>
    <x v="13"/>
    <x v="0"/>
  </r>
  <r>
    <x v="71"/>
    <s v="Sub-Saharan Africa"/>
    <x v="0"/>
    <s v="DHS 4, Standard"/>
    <x v="0"/>
    <x v="0"/>
    <n v="0"/>
    <m/>
    <m/>
    <m/>
    <x v="7"/>
    <x v="0"/>
  </r>
  <r>
    <x v="71"/>
    <s v="Sub-Saharan Africa"/>
    <x v="0"/>
    <s v="DHS 5, MCH SPA"/>
    <x v="9"/>
    <x v="0"/>
    <n v="0"/>
    <m/>
    <m/>
    <m/>
    <x v="2"/>
    <x v="0"/>
  </r>
  <r>
    <x v="71"/>
    <s v="Sub-Saharan Africa"/>
    <x v="0"/>
    <s v="DHS 5, HIV SPA"/>
    <x v="18"/>
    <x v="0"/>
    <n v="0"/>
    <m/>
    <m/>
    <m/>
    <x v="0"/>
    <x v="0"/>
  </r>
  <r>
    <x v="71"/>
    <s v="Sub-Saharan Africa"/>
    <x v="5"/>
    <s v="IS"/>
    <x v="20"/>
    <x v="0"/>
    <n v="1"/>
    <s v="Malawi"/>
    <m/>
    <n v="1997"/>
    <x v="17"/>
    <x v="0"/>
  </r>
  <r>
    <x v="71"/>
    <s v="Sub-Saharan Africa"/>
    <x v="2"/>
    <s v="Second Integrated Household Survey"/>
    <x v="7"/>
    <x v="0"/>
    <n v="1"/>
    <s v="Malawi"/>
    <m/>
    <m/>
    <x v="11"/>
    <x v="0"/>
  </r>
  <r>
    <x v="71"/>
    <s v="Sub-Saharan Africa"/>
    <x v="2"/>
    <s v="Third Integrated Household Survey"/>
    <x v="0"/>
    <x v="0"/>
    <n v="0"/>
    <m/>
    <m/>
    <m/>
    <x v="1"/>
    <x v="0"/>
  </r>
  <r>
    <x v="71"/>
    <s v="Sub-Saharan Africa"/>
    <x v="1"/>
    <n v="1"/>
    <x v="10"/>
    <x v="0"/>
    <n v="1"/>
    <s v="Malawi"/>
    <m/>
    <n v="1995"/>
    <x v="14"/>
    <x v="0"/>
  </r>
  <r>
    <x v="71"/>
    <s v="Sub-Saharan Africa"/>
    <x v="1"/>
    <n v="3"/>
    <x v="11"/>
    <x v="0"/>
    <n v="0"/>
    <s v=""/>
    <m/>
    <n v="2006"/>
    <x v="8"/>
    <x v="0"/>
  </r>
  <r>
    <x v="71"/>
    <s v="Sub-Saharan Africa"/>
    <x v="1"/>
    <n v="5"/>
    <x v="29"/>
    <x v="0"/>
    <n v="0"/>
    <m/>
    <m/>
    <n v="2013"/>
    <x v="3"/>
    <x v="0"/>
  </r>
  <r>
    <x v="72"/>
    <s v="South Asia"/>
    <x v="0"/>
    <s v="DHS 5, HIV SPA"/>
    <x v="15"/>
    <x v="0"/>
    <n v="1"/>
    <s v="Maldives"/>
    <m/>
    <m/>
    <x v="3"/>
    <x v="0"/>
  </r>
  <r>
    <x v="72"/>
    <s v="South Asia"/>
    <x v="1"/>
    <n v="2"/>
    <x v="12"/>
    <x v="0"/>
    <n v="1"/>
    <s v="Maldives"/>
    <m/>
    <n v="2001"/>
    <x v="0"/>
    <x v="1"/>
  </r>
  <r>
    <x v="73"/>
    <s v="Sub-Saharan Africa"/>
    <x v="4"/>
    <s v="Welfare Monitoring Survey:CWIQ"/>
    <x v="14"/>
    <x v="0"/>
    <n v="1"/>
    <s v="Mali"/>
    <m/>
    <n v="2006"/>
    <x v="0"/>
    <x v="0"/>
  </r>
  <r>
    <x v="73"/>
    <s v="Sub-Saharan Africa"/>
    <x v="0"/>
    <s v="DHS 4, Standard"/>
    <x v="25"/>
    <x v="0"/>
    <n v="1"/>
    <s v="Mali"/>
    <m/>
    <m/>
    <x v="5"/>
    <x v="1"/>
  </r>
  <r>
    <x v="73"/>
    <s v="Sub-Saharan Africa"/>
    <x v="0"/>
    <s v="DHS 4, Standard"/>
    <x v="5"/>
    <x v="0"/>
    <n v="0"/>
    <m/>
    <m/>
    <m/>
    <x v="6"/>
    <x v="0"/>
  </r>
  <r>
    <x v="73"/>
    <s v="Sub-Saharan Africa"/>
    <x v="0"/>
    <s v="DHS 4, Standard"/>
    <x v="12"/>
    <x v="0"/>
    <n v="0"/>
    <m/>
    <m/>
    <m/>
    <x v="7"/>
    <x v="0"/>
  </r>
  <r>
    <x v="73"/>
    <s v="Sub-Saharan Africa"/>
    <x v="0"/>
    <s v="DHS 5, Continuous"/>
    <x v="11"/>
    <x v="0"/>
    <n v="0"/>
    <m/>
    <m/>
    <m/>
    <x v="1"/>
    <x v="0"/>
  </r>
  <r>
    <x v="73"/>
    <s v="Sub-Saharan Africa"/>
    <x v="0"/>
    <s v="DHS 4, Standard"/>
    <x v="0"/>
    <x v="0"/>
    <n v="0"/>
    <m/>
    <m/>
    <m/>
    <x v="2"/>
    <x v="0"/>
  </r>
  <r>
    <x v="73"/>
    <s v="Sub-Saharan Africa"/>
    <x v="0"/>
    <s v="DHS 5, Standard AIS"/>
    <x v="9"/>
    <x v="0"/>
    <n v="0"/>
    <m/>
    <m/>
    <m/>
    <x v="3"/>
    <x v="0"/>
  </r>
  <r>
    <x v="74"/>
    <s v="Sub-Saharan Africa"/>
    <x v="4"/>
    <s v="Enquête Permanente sur les Conditions de Vie des Ménages:CWIQ"/>
    <x v="7"/>
    <x v="0"/>
    <n v="1"/>
    <s v="Mauritania"/>
    <m/>
    <m/>
    <x v="2"/>
    <x v="0"/>
  </r>
  <r>
    <x v="74"/>
    <s v="Sub-Saharan Africa"/>
    <x v="0"/>
    <s v="DHS 5, Standard"/>
    <x v="1"/>
    <x v="0"/>
    <n v="1"/>
    <s v="Mauritania"/>
    <m/>
    <m/>
    <x v="7"/>
    <x v="1"/>
  </r>
  <r>
    <x v="74"/>
    <s v="Sub-Saharan Africa"/>
    <x v="0"/>
    <s v="DHS 5, Standard"/>
    <x v="2"/>
    <x v="0"/>
    <n v="0"/>
    <m/>
    <m/>
    <m/>
    <x v="1"/>
    <x v="0"/>
  </r>
  <r>
    <x v="74"/>
    <s v="Sub-Saharan Africa"/>
    <x v="1"/>
    <n v="3"/>
    <x v="14"/>
    <x v="0"/>
    <n v="1"/>
    <s v="Mauritania"/>
    <m/>
    <n v="2007"/>
    <x v="0"/>
    <x v="0"/>
  </r>
  <r>
    <x v="74"/>
    <s v="Sub-Saharan Africa"/>
    <x v="1"/>
    <n v="4"/>
    <x v="3"/>
    <x v="0"/>
    <n v="0"/>
    <m/>
    <m/>
    <n v="2011"/>
    <x v="3"/>
    <x v="0"/>
  </r>
  <r>
    <x v="75"/>
    <s v="Latin America and Caribbean"/>
    <x v="0"/>
    <s v="DHS 4, Standard"/>
    <x v="25"/>
    <x v="0"/>
    <n v="1"/>
    <s v="Mexico"/>
    <m/>
    <m/>
    <x v="3"/>
    <x v="1"/>
  </r>
  <r>
    <x v="76"/>
    <s v="Europe and Central Asia"/>
    <x v="0"/>
    <s v="DHS 5, Standard"/>
    <x v="8"/>
    <x v="0"/>
    <n v="1"/>
    <s v="Moldova"/>
    <m/>
    <m/>
    <x v="2"/>
    <x v="0"/>
  </r>
  <r>
    <x v="76"/>
    <s v="Europe and Central Asia"/>
    <x v="1"/>
    <n v="2"/>
    <x v="1"/>
    <x v="0"/>
    <n v="1"/>
    <s v="Moldova"/>
    <m/>
    <n v="2000"/>
    <x v="1"/>
    <x v="1"/>
  </r>
  <r>
    <x v="76"/>
    <s v="Europe and Central Asia"/>
    <x v="1"/>
    <n v="4"/>
    <x v="9"/>
    <x v="0"/>
    <n v="0"/>
    <m/>
    <m/>
    <m/>
    <x v="0"/>
    <x v="0"/>
  </r>
  <r>
    <x v="76"/>
    <s v="Europe and Central Asia"/>
    <x v="1"/>
    <n v="5"/>
    <x v="18"/>
    <x v="0"/>
    <n v="0"/>
    <m/>
    <m/>
    <m/>
    <x v="3"/>
    <x v="0"/>
  </r>
  <r>
    <x v="77"/>
    <s v="East Asia and the Pacific"/>
    <x v="2"/>
    <s v="Integrated Household Income and Expenditure Survey with Living Standards Measurement Survey"/>
    <x v="2"/>
    <x v="0"/>
    <n v="1"/>
    <s v="Mongolia"/>
    <m/>
    <n v="2002"/>
    <x v="1"/>
    <x v="1"/>
  </r>
  <r>
    <x v="77"/>
    <s v="East Asia and the Pacific"/>
    <x v="1"/>
    <n v="2"/>
    <x v="1"/>
    <x v="0"/>
    <n v="1"/>
    <s v="Mongolia"/>
    <m/>
    <m/>
    <x v="5"/>
    <x v="0"/>
  </r>
  <r>
    <x v="77"/>
    <s v="East Asia and the Pacific"/>
    <x v="1"/>
    <n v="3"/>
    <x v="8"/>
    <x v="0"/>
    <n v="0"/>
    <s v=""/>
    <m/>
    <n v="2005"/>
    <x v="2"/>
    <x v="0"/>
  </r>
  <r>
    <x v="77"/>
    <s v="East Asia and the Pacific"/>
    <x v="1"/>
    <n v="4"/>
    <x v="0"/>
    <x v="0"/>
    <n v="0"/>
    <s v=""/>
    <m/>
    <n v="2010"/>
    <x v="0"/>
    <x v="0"/>
  </r>
  <r>
    <x v="77"/>
    <s v="East Asia and the Pacific"/>
    <x v="1"/>
    <n v="4"/>
    <x v="9"/>
    <x v="0"/>
    <n v="0"/>
    <m/>
    <m/>
    <m/>
    <x v="7"/>
    <x v="0"/>
  </r>
  <r>
    <x v="77"/>
    <s v="East Asia and the Pacific"/>
    <x v="1"/>
    <n v="4"/>
    <x v="9"/>
    <x v="0"/>
    <n v="0"/>
    <m/>
    <m/>
    <m/>
    <x v="6"/>
    <x v="0"/>
  </r>
  <r>
    <x v="77"/>
    <s v="East Asia and the Pacific"/>
    <x v="1"/>
    <n v="5"/>
    <x v="18"/>
    <x v="0"/>
    <n v="0"/>
    <m/>
    <m/>
    <m/>
    <x v="3"/>
    <x v="0"/>
  </r>
  <r>
    <x v="78"/>
    <s v="Europe and Central Asia"/>
    <x v="1"/>
    <n v="3"/>
    <x v="11"/>
    <x v="0"/>
    <n v="1"/>
    <s v="Montenegro"/>
    <m/>
    <n v="2005"/>
    <x v="2"/>
    <x v="1"/>
  </r>
  <r>
    <x v="78"/>
    <s v="Europe and Central Asia"/>
    <x v="1"/>
    <n v="5"/>
    <x v="18"/>
    <x v="0"/>
    <n v="0"/>
    <m/>
    <m/>
    <m/>
    <x v="0"/>
    <x v="0"/>
  </r>
  <r>
    <x v="78"/>
    <s v="Europe and Central Asia"/>
    <x v="1"/>
    <n v="5"/>
    <x v="18"/>
    <x v="0"/>
    <n v="0"/>
    <m/>
    <m/>
    <m/>
    <x v="3"/>
    <x v="0"/>
  </r>
  <r>
    <x v="79"/>
    <s v="Arab States"/>
    <x v="0"/>
    <s v="DHS 5, Standard"/>
    <x v="25"/>
    <x v="0"/>
    <n v="1"/>
    <s v="Morocco"/>
    <m/>
    <m/>
    <x v="6"/>
    <x v="1"/>
  </r>
  <r>
    <x v="79"/>
    <s v="Arab States"/>
    <x v="0"/>
    <s v="DHS 5, Standard AIS"/>
    <x v="28"/>
    <x v="0"/>
    <n v="0"/>
    <m/>
    <m/>
    <m/>
    <x v="1"/>
    <x v="0"/>
  </r>
  <r>
    <x v="79"/>
    <s v="Arab States"/>
    <x v="0"/>
    <s v="DHS 5, Standard"/>
    <x v="10"/>
    <x v="0"/>
    <n v="0"/>
    <m/>
    <m/>
    <m/>
    <x v="2"/>
    <x v="0"/>
  </r>
  <r>
    <x v="79"/>
    <s v="Arab States"/>
    <x v="0"/>
    <s v="DHS 5, Standard"/>
    <x v="2"/>
    <x v="0"/>
    <n v="0"/>
    <m/>
    <m/>
    <m/>
    <x v="0"/>
    <x v="0"/>
  </r>
  <r>
    <x v="79"/>
    <s v="Arab States"/>
    <x v="2"/>
    <s v="Enquête Nationale sur le Niveau de Vie des Ménages..."/>
    <x v="23"/>
    <x v="0"/>
    <n v="1"/>
    <s v="Morocco"/>
    <m/>
    <m/>
    <x v="7"/>
    <x v="0"/>
  </r>
  <r>
    <x v="79"/>
    <s v="Arab States"/>
    <x v="3"/>
    <s v="Moroccan Population Family Health Survey (MPFHS)"/>
    <x v="7"/>
    <x v="0"/>
    <n v="1"/>
    <s v="Morocco"/>
    <m/>
    <n v="2003"/>
    <x v="3"/>
    <x v="0"/>
  </r>
  <r>
    <x v="80"/>
    <s v="Sub-Saharan Africa"/>
    <x v="0"/>
    <s v="DHS 5, Standard"/>
    <x v="17"/>
    <x v="0"/>
    <n v="1"/>
    <s v="Mozambique"/>
    <m/>
    <m/>
    <x v="6"/>
    <x v="0"/>
  </r>
  <r>
    <x v="80"/>
    <s v="Sub-Saharan Africa"/>
    <x v="4"/>
    <s v="CWIQ"/>
    <x v="12"/>
    <x v="0"/>
    <n v="1"/>
    <s v="Mozambique"/>
    <m/>
    <n v="2000"/>
    <x v="7"/>
    <x v="0"/>
  </r>
  <r>
    <x v="80"/>
    <s v="Sub-Saharan Africa"/>
    <x v="0"/>
    <s v="DHS 5, Standard AIS"/>
    <x v="2"/>
    <x v="0"/>
    <n v="0"/>
    <m/>
    <m/>
    <m/>
    <x v="1"/>
    <x v="0"/>
  </r>
  <r>
    <x v="80"/>
    <s v="Sub-Saharan Africa"/>
    <x v="0"/>
    <s v="DHS 5, Standard"/>
    <x v="15"/>
    <x v="0"/>
    <n v="0"/>
    <m/>
    <m/>
    <m/>
    <x v="0"/>
    <x v="0"/>
  </r>
  <r>
    <x v="80"/>
    <s v="Sub-Saharan Africa"/>
    <x v="0"/>
    <s v="DHS 5, Standard"/>
    <x v="3"/>
    <x v="0"/>
    <n v="0"/>
    <m/>
    <m/>
    <m/>
    <x v="3"/>
    <x v="0"/>
  </r>
  <r>
    <x v="80"/>
    <s v="Sub-Saharan Africa"/>
    <x v="1"/>
    <n v="1"/>
    <x v="10"/>
    <x v="0"/>
    <n v="1"/>
    <s v="Mozambique"/>
    <m/>
    <n v="1995"/>
    <x v="6"/>
    <x v="1"/>
  </r>
  <r>
    <x v="80"/>
    <s v="Sub-Saharan Africa"/>
    <x v="1"/>
    <n v="3"/>
    <x v="4"/>
    <x v="0"/>
    <n v="0"/>
    <s v=""/>
    <m/>
    <n v="2008"/>
    <x v="2"/>
    <x v="0"/>
  </r>
  <r>
    <x v="81"/>
    <s v="East Asia and the Pacific"/>
    <x v="1"/>
    <n v="1"/>
    <x v="10"/>
    <x v="0"/>
    <n v="1"/>
    <s v="Myanmar"/>
    <m/>
    <n v="1995"/>
    <x v="2"/>
    <x v="1"/>
  </r>
  <r>
    <x v="81"/>
    <s v="East Asia and the Pacific"/>
    <x v="1"/>
    <n v="2"/>
    <x v="1"/>
    <x v="0"/>
    <n v="0"/>
    <s v=""/>
    <m/>
    <n v="2000"/>
    <x v="0"/>
    <x v="0"/>
  </r>
  <r>
    <x v="81"/>
    <s v="East Asia and the Pacific"/>
    <x v="1"/>
    <n v="3"/>
    <x v="0"/>
    <x v="0"/>
    <n v="0"/>
    <s v=""/>
    <m/>
    <n v="2009"/>
    <x v="3"/>
    <x v="0"/>
  </r>
  <r>
    <x v="82"/>
    <s v="Sub-Saharan Africa"/>
    <x v="0"/>
    <s v="DHS 5, Standard"/>
    <x v="28"/>
    <x v="0"/>
    <n v="1"/>
    <s v="Namibia"/>
    <m/>
    <m/>
    <x v="7"/>
    <x v="1"/>
  </r>
  <r>
    <x v="82"/>
    <s v="Sub-Saharan Africa"/>
    <x v="0"/>
    <s v="DHS 5, Standard"/>
    <x v="1"/>
    <x v="0"/>
    <n v="0"/>
    <m/>
    <m/>
    <m/>
    <x v="1"/>
    <x v="0"/>
  </r>
  <r>
    <x v="82"/>
    <s v="Sub-Saharan Africa"/>
    <x v="0"/>
    <s v="DHS 4, Standard"/>
    <x v="11"/>
    <x v="0"/>
    <n v="0"/>
    <m/>
    <m/>
    <m/>
    <x v="2"/>
    <x v="0"/>
  </r>
  <r>
    <x v="82"/>
    <s v="Sub-Saharan Africa"/>
    <x v="0"/>
    <s v="DHS 5, Standard AIS"/>
    <x v="15"/>
    <x v="0"/>
    <n v="0"/>
    <m/>
    <m/>
    <m/>
    <x v="0"/>
    <x v="0"/>
  </r>
  <r>
    <x v="82"/>
    <s v="Sub-Saharan Africa"/>
    <x v="0"/>
    <s v="DHS 5, HIV SPA"/>
    <x v="18"/>
    <x v="0"/>
    <n v="0"/>
    <m/>
    <m/>
    <m/>
    <x v="3"/>
    <x v="0"/>
  </r>
  <r>
    <x v="83"/>
    <s v="South Asia"/>
    <x v="0"/>
    <s v="DHS 5, Standard"/>
    <x v="25"/>
    <x v="0"/>
    <n v="1"/>
    <s v="Nepal"/>
    <m/>
    <m/>
    <x v="4"/>
    <x v="1"/>
  </r>
  <r>
    <x v="83"/>
    <s v="South Asia"/>
    <x v="0"/>
    <s v="DHS 5, Malaria Indicator Survey"/>
    <x v="5"/>
    <x v="0"/>
    <n v="0"/>
    <m/>
    <m/>
    <m/>
    <x v="9"/>
    <x v="0"/>
  </r>
  <r>
    <x v="83"/>
    <s v="South Asia"/>
    <x v="0"/>
    <s v="DHS 5, Standard"/>
    <x v="12"/>
    <x v="0"/>
    <n v="0"/>
    <m/>
    <m/>
    <m/>
    <x v="6"/>
    <x v="0"/>
  </r>
  <r>
    <x v="83"/>
    <s v="South Asia"/>
    <x v="0"/>
    <s v="DHS 5, Standard"/>
    <x v="11"/>
    <x v="0"/>
    <n v="0"/>
    <m/>
    <m/>
    <m/>
    <x v="1"/>
    <x v="0"/>
  </r>
  <r>
    <x v="83"/>
    <s v="South Asia"/>
    <x v="0"/>
    <s v="DHS 5, Standard"/>
    <x v="3"/>
    <x v="0"/>
    <n v="0"/>
    <m/>
    <m/>
    <m/>
    <x v="3"/>
    <x v="0"/>
  </r>
  <r>
    <x v="83"/>
    <s v="South Asia"/>
    <x v="2"/>
    <s v="Living Standards Survey"/>
    <x v="5"/>
    <x v="0"/>
    <n v="1"/>
    <s v="Nepal"/>
    <m/>
    <m/>
    <x v="5"/>
    <x v="0"/>
  </r>
  <r>
    <x v="83"/>
    <s v="South Asia"/>
    <x v="2"/>
    <s v="Living Standards Survey"/>
    <x v="2"/>
    <x v="0"/>
    <n v="0"/>
    <m/>
    <m/>
    <m/>
    <x v="7"/>
    <x v="0"/>
  </r>
  <r>
    <x v="83"/>
    <s v="South Asia"/>
    <x v="2"/>
    <s v="Living Standards Survey"/>
    <x v="0"/>
    <x v="0"/>
    <n v="0"/>
    <m/>
    <m/>
    <m/>
    <x v="2"/>
    <x v="0"/>
  </r>
  <r>
    <x v="83"/>
    <s v="South Asia"/>
    <x v="1"/>
    <n v="4"/>
    <x v="0"/>
    <x v="0"/>
    <n v="1"/>
    <s v="Nepal"/>
    <s v="Mid and far Western regions"/>
    <n v="2010"/>
    <x v="0"/>
    <x v="0"/>
  </r>
  <r>
    <x v="84"/>
    <s v="Latin America and Caribbean"/>
    <x v="0"/>
    <s v="DHS 5, Standard"/>
    <x v="20"/>
    <x v="0"/>
    <n v="1"/>
    <s v="Nicaragua"/>
    <m/>
    <m/>
    <x v="9"/>
    <x v="0"/>
  </r>
  <r>
    <x v="84"/>
    <s v="Latin America and Caribbean"/>
    <x v="0"/>
    <s v="DHS 5, Standard"/>
    <x v="12"/>
    <x v="0"/>
    <n v="0"/>
    <m/>
    <m/>
    <m/>
    <x v="7"/>
    <x v="0"/>
  </r>
  <r>
    <x v="84"/>
    <s v="Latin America and Caribbean"/>
    <x v="0"/>
    <s v="DHS 5, Standard"/>
    <x v="11"/>
    <x v="0"/>
    <n v="0"/>
    <m/>
    <m/>
    <m/>
    <x v="0"/>
    <x v="0"/>
  </r>
  <r>
    <x v="84"/>
    <s v="Latin America and Caribbean"/>
    <x v="0"/>
    <s v="DHS 5, Standard"/>
    <x v="9"/>
    <x v="0"/>
    <n v="0"/>
    <m/>
    <m/>
    <n v="2011"/>
    <x v="3"/>
    <x v="0"/>
  </r>
  <r>
    <x v="84"/>
    <s v="Latin America and Caribbean"/>
    <x v="2"/>
    <s v="Encuesta Nacional de Hogares sobre Medición de Niv..."/>
    <x v="24"/>
    <x v="0"/>
    <n v="1"/>
    <s v="Nicaragua"/>
    <m/>
    <m/>
    <x v="4"/>
    <x v="1"/>
  </r>
  <r>
    <x v="84"/>
    <s v="Latin America and Caribbean"/>
    <x v="2"/>
    <s v="Encuesta Nacional de Hogares sobre Medición de Niv..."/>
    <x v="20"/>
    <x v="0"/>
    <n v="0"/>
    <m/>
    <m/>
    <m/>
    <x v="5"/>
    <x v="0"/>
  </r>
  <r>
    <x v="84"/>
    <s v="Latin America and Caribbean"/>
    <x v="2"/>
    <s v="Encuesta Nacional de Hogares sobre Medición de Niv..."/>
    <x v="13"/>
    <x v="0"/>
    <n v="0"/>
    <m/>
    <m/>
    <m/>
    <x v="6"/>
    <x v="0"/>
  </r>
  <r>
    <x v="84"/>
    <s v="Latin America and Caribbean"/>
    <x v="2"/>
    <s v="Encuesta Nacional de Hogares sobre Medición de Niv..."/>
    <x v="12"/>
    <x v="0"/>
    <n v="0"/>
    <m/>
    <m/>
    <m/>
    <x v="1"/>
    <x v="0"/>
  </r>
  <r>
    <x v="84"/>
    <s v="Latin America and Caribbean"/>
    <x v="2"/>
    <s v="Encuesta Nacional de Hogares sobre Medicion de Niv..."/>
    <x v="8"/>
    <x v="0"/>
    <n v="0"/>
    <m/>
    <m/>
    <m/>
    <x v="2"/>
    <x v="0"/>
  </r>
  <r>
    <x v="85"/>
    <s v="Sub-Saharan Africa"/>
    <x v="0"/>
    <s v="DHS 5, Standard"/>
    <x v="28"/>
    <x v="0"/>
    <n v="1"/>
    <s v="Niger"/>
    <m/>
    <m/>
    <x v="5"/>
    <x v="1"/>
  </r>
  <r>
    <x v="85"/>
    <s v="Sub-Saharan Africa"/>
    <x v="0"/>
    <s v="DHS 5, Standard"/>
    <x v="20"/>
    <x v="0"/>
    <n v="0"/>
    <m/>
    <m/>
    <m/>
    <x v="7"/>
    <x v="0"/>
  </r>
  <r>
    <x v="85"/>
    <s v="Sub-Saharan Africa"/>
    <x v="0"/>
    <s v="DHS 5, Standard"/>
    <x v="11"/>
    <x v="0"/>
    <n v="0"/>
    <m/>
    <m/>
    <m/>
    <x v="2"/>
    <x v="0"/>
  </r>
  <r>
    <x v="85"/>
    <s v="Sub-Saharan Africa"/>
    <x v="0"/>
    <s v="DHS 5, Malaria Indicator Survey"/>
    <x v="9"/>
    <x v="0"/>
    <n v="0"/>
    <m/>
    <m/>
    <m/>
    <x v="3"/>
    <x v="0"/>
  </r>
  <r>
    <x v="85"/>
    <s v="Sub-Saharan Africa"/>
    <x v="2"/>
    <s v="Enquête National sur les Conditions de Vie des Mén..."/>
    <x v="0"/>
    <x v="0"/>
    <n v="1"/>
    <s v="Niger"/>
    <m/>
    <m/>
    <x v="0"/>
    <x v="0"/>
  </r>
  <r>
    <x v="85"/>
    <s v="Sub-Saharan Africa"/>
    <x v="1"/>
    <n v="1"/>
    <x v="10"/>
    <x v="0"/>
    <n v="1"/>
    <s v="Niger"/>
    <m/>
    <n v="1995"/>
    <x v="6"/>
    <x v="0"/>
  </r>
  <r>
    <x v="85"/>
    <s v="Sub-Saharan Africa"/>
    <x v="1"/>
    <n v="2"/>
    <x v="1"/>
    <x v="0"/>
    <n v="0"/>
    <s v=""/>
    <m/>
    <n v="2000"/>
    <x v="1"/>
    <x v="0"/>
  </r>
  <r>
    <x v="86"/>
    <s v="Sub-Saharan Africa"/>
    <x v="4"/>
    <s v="CWIQ"/>
    <x v="11"/>
    <x v="0"/>
    <n v="1"/>
    <s v="Nigeria"/>
    <m/>
    <m/>
    <x v="9"/>
    <x v="0"/>
  </r>
  <r>
    <x v="86"/>
    <s v="Sub-Saharan Africa"/>
    <x v="0"/>
    <s v="DHS 4, Standard"/>
    <x v="22"/>
    <x v="0"/>
    <n v="1"/>
    <s v="Nigeria"/>
    <m/>
    <m/>
    <x v="10"/>
    <x v="1"/>
  </r>
  <r>
    <x v="86"/>
    <s v="Sub-Saharan Africa"/>
    <x v="0"/>
    <s v="DHS 5, Standard"/>
    <x v="26"/>
    <x v="0"/>
    <n v="0"/>
    <m/>
    <m/>
    <m/>
    <x v="12"/>
    <x v="0"/>
  </r>
  <r>
    <x v="86"/>
    <s v="Sub-Saharan Africa"/>
    <x v="0"/>
    <s v="DHS 5, MCH SPA"/>
    <x v="13"/>
    <x v="0"/>
    <n v="0"/>
    <m/>
    <m/>
    <m/>
    <x v="8"/>
    <x v="0"/>
  </r>
  <r>
    <x v="86"/>
    <s v="Sub-Saharan Africa"/>
    <x v="0"/>
    <s v="DHS 5, Standard"/>
    <x v="2"/>
    <x v="0"/>
    <n v="0"/>
    <m/>
    <m/>
    <m/>
    <x v="4"/>
    <x v="0"/>
  </r>
  <r>
    <x v="86"/>
    <s v="Sub-Saharan Africa"/>
    <x v="0"/>
    <s v="DHS 5, Standard"/>
    <x v="4"/>
    <x v="0"/>
    <n v="0"/>
    <m/>
    <m/>
    <m/>
    <x v="6"/>
    <x v="0"/>
  </r>
  <r>
    <x v="86"/>
    <s v="Sub-Saharan Africa"/>
    <x v="0"/>
    <s v="DHS 5, Standard"/>
    <x v="0"/>
    <x v="0"/>
    <n v="0"/>
    <m/>
    <m/>
    <m/>
    <x v="7"/>
    <x v="0"/>
  </r>
  <r>
    <x v="86"/>
    <s v="Sub-Saharan Africa"/>
    <x v="0"/>
    <s v="DHS 5, Special"/>
    <x v="18"/>
    <x v="0"/>
    <n v="0"/>
    <m/>
    <m/>
    <m/>
    <x v="3"/>
    <x v="0"/>
  </r>
  <r>
    <x v="86"/>
    <s v="Sub-Saharan Africa"/>
    <x v="2"/>
    <s v="Living Standards Survey"/>
    <x v="2"/>
    <x v="0"/>
    <n v="1"/>
    <s v="Nigeria"/>
    <m/>
    <m/>
    <x v="7"/>
    <x v="0"/>
  </r>
  <r>
    <x v="86"/>
    <s v="Sub-Saharan Africa"/>
    <x v="2"/>
    <s v="GHS Panel Survey"/>
    <x v="0"/>
    <x v="0"/>
    <n v="0"/>
    <s v=""/>
    <m/>
    <m/>
    <x v="1"/>
    <x v="0"/>
  </r>
  <r>
    <x v="86"/>
    <s v="Sub-Saharan Africa"/>
    <x v="2"/>
    <s v="GHS Panel Survey"/>
    <x v="18"/>
    <x v="0"/>
    <n v="0"/>
    <m/>
    <m/>
    <n v="2012"/>
    <x v="0"/>
    <x v="0"/>
  </r>
  <r>
    <x v="86"/>
    <s v="Sub-Saharan Africa"/>
    <x v="1"/>
    <n v="3"/>
    <x v="14"/>
    <x v="0"/>
    <n v="1"/>
    <s v="Nigeria"/>
    <m/>
    <n v="2007"/>
    <x v="5"/>
    <x v="0"/>
  </r>
  <r>
    <x v="86"/>
    <s v="Sub-Saharan Africa"/>
    <x v="1"/>
    <n v="4"/>
    <x v="3"/>
    <x v="0"/>
    <n v="0"/>
    <s v=""/>
    <m/>
    <n v="2011"/>
    <x v="2"/>
    <x v="0"/>
  </r>
  <r>
    <x v="87"/>
    <s v="Arab States"/>
    <x v="1"/>
    <n v="4"/>
    <x v="3"/>
    <x v="0"/>
    <n v="1"/>
    <s v="Occupied Palestinian Territory"/>
    <m/>
    <m/>
    <x v="3"/>
    <x v="0"/>
  </r>
  <r>
    <x v="87"/>
    <s v="Arab States"/>
    <x v="3"/>
    <s v="Palestinian Family Health Survey (PFHS)"/>
    <x v="14"/>
    <x v="0"/>
    <n v="1"/>
    <s v="Occupied Palestinian Territory"/>
    <m/>
    <n v="2006"/>
    <x v="0"/>
    <x v="1"/>
  </r>
  <r>
    <x v="88"/>
    <s v="Arab States"/>
    <x v="1"/>
    <n v="5"/>
    <x v="29"/>
    <x v="0"/>
    <n v="1"/>
    <s v="Oman"/>
    <m/>
    <n v="2014"/>
    <x v="3"/>
    <x v="1"/>
  </r>
  <r>
    <x v="89"/>
    <s v="South Asia"/>
    <x v="5"/>
    <s v="IS"/>
    <x v="17"/>
    <x v="0"/>
    <n v="0"/>
    <m/>
    <m/>
    <n v="1996"/>
    <x v="5"/>
    <x v="0"/>
  </r>
  <r>
    <x v="89"/>
    <s v="South Asia"/>
    <x v="0"/>
    <s v="DHS 5, Standard"/>
    <x v="23"/>
    <x v="0"/>
    <n v="1"/>
    <s v="Pakistan"/>
    <m/>
    <m/>
    <x v="8"/>
    <x v="1"/>
  </r>
  <r>
    <x v="89"/>
    <s v="South Asia"/>
    <x v="0"/>
    <s v="DHS 5, Special"/>
    <x v="11"/>
    <x v="0"/>
    <n v="0"/>
    <m/>
    <m/>
    <m/>
    <x v="1"/>
    <x v="0"/>
  </r>
  <r>
    <x v="89"/>
    <s v="South Asia"/>
    <x v="0"/>
    <s v="DHS 1, Special"/>
    <x v="9"/>
    <x v="0"/>
    <n v="0"/>
    <m/>
    <m/>
    <m/>
    <x v="3"/>
    <x v="0"/>
  </r>
  <r>
    <x v="89"/>
    <s v="South Asia"/>
    <x v="5"/>
    <s v="IS"/>
    <x v="5"/>
    <x v="0"/>
    <n v="1"/>
    <s v="Pakistan"/>
    <m/>
    <n v="1995"/>
    <x v="9"/>
    <x v="0"/>
  </r>
  <r>
    <x v="89"/>
    <s v="South Asia"/>
    <x v="5"/>
    <s v="IS"/>
    <x v="6"/>
    <x v="0"/>
    <n v="0"/>
    <m/>
    <m/>
    <n v="2001"/>
    <x v="6"/>
    <x v="0"/>
  </r>
  <r>
    <x v="89"/>
    <s v="South Asia"/>
    <x v="5"/>
    <s v="IS"/>
    <x v="8"/>
    <x v="0"/>
    <n v="0"/>
    <m/>
    <m/>
    <n v="2004"/>
    <x v="7"/>
    <x v="0"/>
  </r>
  <r>
    <x v="89"/>
    <s v="South Asia"/>
    <x v="2"/>
    <s v="Integrated Household Survey"/>
    <x v="23"/>
    <x v="0"/>
    <n v="1"/>
    <s v="Pakistan"/>
    <m/>
    <m/>
    <x v="4"/>
    <x v="0"/>
  </r>
  <r>
    <x v="89"/>
    <s v="South Asia"/>
    <x v="1"/>
    <n v="4"/>
    <x v="0"/>
    <x v="0"/>
    <n v="1"/>
    <s v="Pakistan"/>
    <s v="Balochistan"/>
    <n v="2010"/>
    <x v="2"/>
    <x v="0"/>
  </r>
  <r>
    <x v="89"/>
    <s v="South Asia"/>
    <x v="1"/>
    <n v="4"/>
    <x v="3"/>
    <x v="0"/>
    <n v="0"/>
    <s v=""/>
    <s v="Punjab"/>
    <n v="2011"/>
    <x v="0"/>
    <x v="0"/>
  </r>
  <r>
    <x v="90"/>
    <m/>
    <x v="1"/>
    <n v="3"/>
    <x v="11"/>
    <x v="0"/>
    <n v="1"/>
    <s v="Palestinians in Syrian Arab Republic"/>
    <m/>
    <n v="2006"/>
    <x v="3"/>
    <x v="1"/>
  </r>
  <r>
    <x v="91"/>
    <s v="Latin America and Caribbean"/>
    <x v="2"/>
    <s v="Encuesta de Niveles de Vida"/>
    <x v="2"/>
    <x v="0"/>
    <n v="0"/>
    <m/>
    <m/>
    <m/>
    <x v="2"/>
    <x v="0"/>
  </r>
  <r>
    <x v="91"/>
    <s v="Latin America and Caribbean"/>
    <x v="2"/>
    <s v="Encuesta de Niveles de Vida"/>
    <x v="4"/>
    <x v="0"/>
    <n v="0"/>
    <m/>
    <m/>
    <m/>
    <x v="0"/>
    <x v="0"/>
  </r>
  <r>
    <x v="91"/>
    <s v="Latin America and Caribbean"/>
    <x v="1"/>
    <n v="5"/>
    <x v="18"/>
    <x v="0"/>
    <n v="1"/>
    <s v="Panama"/>
    <m/>
    <m/>
    <x v="3"/>
    <x v="0"/>
  </r>
  <r>
    <x v="91"/>
    <s v="Latin America and Caribbean"/>
    <x v="2"/>
    <s v="Encuesta de Niveles de Vida"/>
    <x v="17"/>
    <x v="0"/>
    <n v="1"/>
    <s v="Panama"/>
    <m/>
    <m/>
    <x v="1"/>
    <x v="1"/>
  </r>
  <r>
    <x v="92"/>
    <s v="East Asia and the Pacific"/>
    <x v="2"/>
    <s v="Household Survey"/>
    <x v="5"/>
    <x v="0"/>
    <n v="1"/>
    <s v="Papua Guinea"/>
    <m/>
    <m/>
    <x v="3"/>
    <x v="1"/>
  </r>
  <r>
    <x v="93"/>
    <s v="Latin America and Caribbean"/>
    <x v="0"/>
    <s v="DHS 5, Standard"/>
    <x v="26"/>
    <x v="0"/>
    <n v="1"/>
    <s v="Paraguay"/>
    <m/>
    <m/>
    <x v="3"/>
    <x v="1"/>
  </r>
  <r>
    <x v="94"/>
    <s v="Latin America and Caribbean"/>
    <x v="0"/>
    <s v="DHS 5, Standard"/>
    <x v="22"/>
    <x v="0"/>
    <n v="1"/>
    <s v="Peru"/>
    <m/>
    <m/>
    <x v="19"/>
    <x v="0"/>
  </r>
  <r>
    <x v="94"/>
    <s v="Latin America and Caribbean"/>
    <x v="0"/>
    <s v="DHS 5, Standard"/>
    <x v="22"/>
    <x v="0"/>
    <n v="0"/>
    <m/>
    <m/>
    <m/>
    <x v="13"/>
    <x v="0"/>
  </r>
  <r>
    <x v="94"/>
    <s v="Latin America and Caribbean"/>
    <x v="0"/>
    <s v="DHS, Continuous"/>
    <x v="28"/>
    <x v="0"/>
    <n v="0"/>
    <m/>
    <m/>
    <m/>
    <x v="12"/>
    <x v="0"/>
  </r>
  <r>
    <x v="94"/>
    <s v="Latin America and Caribbean"/>
    <x v="0"/>
    <s v="DHS 5, Interim"/>
    <x v="5"/>
    <x v="0"/>
    <n v="0"/>
    <m/>
    <m/>
    <m/>
    <x v="4"/>
    <x v="0"/>
  </r>
  <r>
    <x v="94"/>
    <s v="Latin America and Caribbean"/>
    <x v="0"/>
    <s v="DHS 5, Standard AIS"/>
    <x v="1"/>
    <x v="0"/>
    <n v="0"/>
    <m/>
    <m/>
    <m/>
    <x v="9"/>
    <x v="0"/>
  </r>
  <r>
    <x v="94"/>
    <s v="Latin America and Caribbean"/>
    <x v="0"/>
    <s v="DHS 5, MCH SPA"/>
    <x v="7"/>
    <x v="0"/>
    <n v="0"/>
    <m/>
    <m/>
    <m/>
    <x v="5"/>
    <x v="0"/>
  </r>
  <r>
    <x v="94"/>
    <s v="Latin America and Caribbean"/>
    <x v="0"/>
    <s v="DHS 5, Standard"/>
    <x v="14"/>
    <x v="0"/>
    <n v="0"/>
    <m/>
    <m/>
    <m/>
    <x v="6"/>
    <x v="0"/>
  </r>
  <r>
    <x v="94"/>
    <s v="Latin America and Caribbean"/>
    <x v="0"/>
    <s v="DHS 5, Standard"/>
    <x v="15"/>
    <x v="0"/>
    <n v="0"/>
    <m/>
    <m/>
    <m/>
    <x v="7"/>
    <x v="0"/>
  </r>
  <r>
    <x v="94"/>
    <s v="Latin America and Caribbean"/>
    <x v="0"/>
    <s v="DHS 5, Standard"/>
    <x v="0"/>
    <x v="0"/>
    <n v="0"/>
    <m/>
    <m/>
    <m/>
    <x v="1"/>
    <x v="0"/>
  </r>
  <r>
    <x v="94"/>
    <s v="Latin America and Caribbean"/>
    <x v="0"/>
    <s v="DHS 5, Standard"/>
    <x v="3"/>
    <x v="0"/>
    <n v="0"/>
    <m/>
    <m/>
    <m/>
    <x v="2"/>
    <x v="0"/>
  </r>
  <r>
    <x v="94"/>
    <s v="Latin America and Caribbean"/>
    <x v="0"/>
    <s v="DHS 5, Standard"/>
    <x v="9"/>
    <x v="0"/>
    <n v="0"/>
    <m/>
    <m/>
    <m/>
    <x v="0"/>
    <x v="0"/>
  </r>
  <r>
    <x v="94"/>
    <s v="Latin America and Caribbean"/>
    <x v="0"/>
    <s v="DHS 5, Standard"/>
    <x v="18"/>
    <x v="0"/>
    <n v="0"/>
    <m/>
    <m/>
    <m/>
    <x v="3"/>
    <x v="0"/>
  </r>
  <r>
    <x v="94"/>
    <s v="Latin America and Caribbean"/>
    <x v="2"/>
    <s v="Encuesta Nacional de Hogares sobre Medición de Niv..."/>
    <x v="27"/>
    <x v="0"/>
    <n v="1"/>
    <s v="Peru"/>
    <m/>
    <m/>
    <x v="15"/>
    <x v="1"/>
  </r>
  <r>
    <x v="94"/>
    <s v="Latin America and Caribbean"/>
    <x v="2"/>
    <s v="Encuesta de Hogares sobre Medición de Niveles de V..."/>
    <x v="26"/>
    <x v="0"/>
    <n v="0"/>
    <m/>
    <m/>
    <m/>
    <x v="11"/>
    <x v="0"/>
  </r>
  <r>
    <x v="94"/>
    <s v="Latin America and Caribbean"/>
    <x v="2"/>
    <s v="Encuesta Nacional de Hogares sobre Medición de Niv..."/>
    <x v="23"/>
    <x v="0"/>
    <n v="0"/>
    <m/>
    <m/>
    <m/>
    <x v="10"/>
    <x v="0"/>
  </r>
  <r>
    <x v="94"/>
    <s v="Latin America and Caribbean"/>
    <x v="2"/>
    <s v="Encuesta Nacional de Hogares sobre Medición de Niv..."/>
    <x v="16"/>
    <x v="0"/>
    <n v="0"/>
    <m/>
    <m/>
    <m/>
    <x v="8"/>
    <x v="0"/>
  </r>
  <r>
    <x v="95"/>
    <s v="East Asia and the Pacific"/>
    <x v="0"/>
    <s v="DHS 5, Standard"/>
    <x v="24"/>
    <x v="0"/>
    <n v="1"/>
    <s v="Philippines"/>
    <m/>
    <m/>
    <x v="5"/>
    <x v="1"/>
  </r>
  <r>
    <x v="95"/>
    <s v="East Asia and the Pacific"/>
    <x v="0"/>
    <s v="DHS 5, Standard"/>
    <x v="24"/>
    <x v="0"/>
    <n v="0"/>
    <m/>
    <m/>
    <m/>
    <x v="6"/>
    <x v="0"/>
  </r>
  <r>
    <x v="95"/>
    <s v="East Asia and the Pacific"/>
    <x v="0"/>
    <s v="DHS 5, Standard"/>
    <x v="20"/>
    <x v="0"/>
    <n v="0"/>
    <m/>
    <m/>
    <m/>
    <x v="7"/>
    <x v="0"/>
  </r>
  <r>
    <x v="95"/>
    <s v="East Asia and the Pacific"/>
    <x v="0"/>
    <s v="DHS 5, Standard"/>
    <x v="2"/>
    <x v="0"/>
    <n v="0"/>
    <m/>
    <m/>
    <m/>
    <x v="2"/>
    <x v="0"/>
  </r>
  <r>
    <x v="95"/>
    <s v="East Asia and the Pacific"/>
    <x v="0"/>
    <s v="DHS 5, HIV/MCH SPA"/>
    <x v="4"/>
    <x v="0"/>
    <n v="0"/>
    <m/>
    <m/>
    <m/>
    <x v="0"/>
    <x v="0"/>
  </r>
  <r>
    <x v="95"/>
    <s v="East Asia and the Pacific"/>
    <x v="0"/>
    <s v="DHS 5, Standard"/>
    <x v="18"/>
    <x v="0"/>
    <n v="0"/>
    <m/>
    <m/>
    <m/>
    <x v="3"/>
    <x v="0"/>
  </r>
  <r>
    <x v="95"/>
    <s v="East Asia and the Pacific"/>
    <x v="1"/>
    <n v="2"/>
    <x v="1"/>
    <x v="0"/>
    <n v="1"/>
    <s v="Philippines"/>
    <m/>
    <n v="2000"/>
    <x v="1"/>
    <x v="0"/>
  </r>
  <r>
    <x v="96"/>
    <s v="Arab States"/>
    <x v="1"/>
    <n v="4"/>
    <x v="9"/>
    <x v="0"/>
    <n v="1"/>
    <s v="Qatar"/>
    <m/>
    <m/>
    <x v="3"/>
    <x v="1"/>
  </r>
  <r>
    <x v="97"/>
    <s v="Europe and Central Asia"/>
    <x v="2"/>
    <s v="Integrated Household Survey"/>
    <x v="16"/>
    <x v="0"/>
    <n v="1"/>
    <s v="Romania"/>
    <m/>
    <m/>
    <x v="3"/>
    <x v="1"/>
  </r>
  <r>
    <x v="98"/>
    <s v="Sub-Saharan Africa"/>
    <x v="4"/>
    <s v="CWIQ"/>
    <x v="12"/>
    <x v="0"/>
    <n v="0"/>
    <m/>
    <m/>
    <m/>
    <x v="9"/>
    <x v="0"/>
  </r>
  <r>
    <x v="98"/>
    <s v="Sub-Saharan Africa"/>
    <x v="0"/>
    <s v="DHS 5, Malaria Indicator Survey"/>
    <x v="28"/>
    <x v="0"/>
    <n v="1"/>
    <s v="Rwanda"/>
    <m/>
    <m/>
    <x v="12"/>
    <x v="1"/>
  </r>
  <r>
    <x v="98"/>
    <s v="Sub-Saharan Africa"/>
    <x v="0"/>
    <s v="DHS 5, Standard"/>
    <x v="1"/>
    <x v="0"/>
    <n v="0"/>
    <m/>
    <m/>
    <m/>
    <x v="8"/>
    <x v="0"/>
  </r>
  <r>
    <x v="98"/>
    <s v="Sub-Saharan Africa"/>
    <x v="0"/>
    <s v="DHS 5, Standard AIS"/>
    <x v="12"/>
    <x v="0"/>
    <n v="0"/>
    <m/>
    <m/>
    <m/>
    <x v="5"/>
    <x v="0"/>
  </r>
  <r>
    <x v="98"/>
    <s v="Sub-Saharan Africa"/>
    <x v="0"/>
    <s v="DHS, Standard"/>
    <x v="8"/>
    <x v="0"/>
    <n v="0"/>
    <m/>
    <m/>
    <m/>
    <x v="6"/>
    <x v="0"/>
  </r>
  <r>
    <x v="98"/>
    <s v="Sub-Saharan Africa"/>
    <x v="0"/>
    <s v="DHS 5, Interim"/>
    <x v="14"/>
    <x v="0"/>
    <n v="0"/>
    <m/>
    <m/>
    <m/>
    <x v="7"/>
    <x v="0"/>
  </r>
  <r>
    <x v="98"/>
    <s v="Sub-Saharan Africa"/>
    <x v="0"/>
    <s v="DHS 5, Standard"/>
    <x v="4"/>
    <x v="0"/>
    <n v="0"/>
    <m/>
    <m/>
    <m/>
    <x v="1"/>
    <x v="0"/>
  </r>
  <r>
    <x v="98"/>
    <s v="Sub-Saharan Africa"/>
    <x v="0"/>
    <s v="DHS 5, Malaria Indicator Survey"/>
    <x v="0"/>
    <x v="0"/>
    <n v="0"/>
    <m/>
    <m/>
    <m/>
    <x v="2"/>
    <x v="0"/>
  </r>
  <r>
    <x v="98"/>
    <s v="Sub-Saharan Africa"/>
    <x v="0"/>
    <s v="DHS 5, Standard"/>
    <x v="3"/>
    <x v="0"/>
    <n v="0"/>
    <m/>
    <m/>
    <m/>
    <x v="0"/>
    <x v="0"/>
  </r>
  <r>
    <x v="98"/>
    <s v="Sub-Saharan Africa"/>
    <x v="0"/>
    <s v="DHS 5, Standard AIS"/>
    <x v="18"/>
    <x v="0"/>
    <n v="0"/>
    <m/>
    <m/>
    <m/>
    <x v="3"/>
    <x v="0"/>
  </r>
  <r>
    <x v="98"/>
    <s v="Sub-Saharan Africa"/>
    <x v="1"/>
    <n v="2"/>
    <x v="1"/>
    <x v="0"/>
    <n v="1"/>
    <s v="Rwanda"/>
    <m/>
    <n v="2000"/>
    <x v="4"/>
    <x v="0"/>
  </r>
  <r>
    <x v="99"/>
    <s v="East Asia and the Pacific"/>
    <x v="0"/>
    <s v="DHS 6, HIV/MCH SPA"/>
    <x v="15"/>
    <x v="0"/>
    <n v="1"/>
    <s v="Samoa "/>
    <m/>
    <m/>
    <x v="3"/>
    <x v="1"/>
  </r>
  <r>
    <x v="100"/>
    <s v="Sub-Saharan Africa"/>
    <x v="0"/>
    <s v="DHS, Continuous"/>
    <x v="4"/>
    <x v="0"/>
    <n v="1"/>
    <s v="Sao Tome and Principe"/>
    <m/>
    <m/>
    <x v="3"/>
    <x v="0"/>
  </r>
  <r>
    <x v="100"/>
    <s v="Sub-Saharan Africa"/>
    <x v="1"/>
    <n v="2"/>
    <x v="1"/>
    <x v="0"/>
    <n v="1"/>
    <s v="Sao Tome and Principe"/>
    <m/>
    <n v="2000"/>
    <x v="2"/>
    <x v="1"/>
  </r>
  <r>
    <x v="100"/>
    <s v="Sub-Saharan Africa"/>
    <x v="1"/>
    <n v="3"/>
    <x v="11"/>
    <x v="0"/>
    <n v="0"/>
    <s v=""/>
    <m/>
    <n v="2006"/>
    <x v="0"/>
    <x v="0"/>
  </r>
  <r>
    <x v="101"/>
    <s v="Sub-Saharan Africa"/>
    <x v="0"/>
    <s v="DHS 5, Malaria Indicator Survey"/>
    <x v="17"/>
    <x v="0"/>
    <n v="0"/>
    <m/>
    <m/>
    <m/>
    <x v="8"/>
    <x v="0"/>
  </r>
  <r>
    <x v="101"/>
    <s v="Sub-Saharan Africa"/>
    <x v="0"/>
    <s v="DHS 6, Standard"/>
    <x v="22"/>
    <x v="0"/>
    <n v="1"/>
    <s v="Senegal"/>
    <m/>
    <m/>
    <x v="11"/>
    <x v="1"/>
  </r>
  <r>
    <x v="101"/>
    <s v="Sub-Saharan Africa"/>
    <x v="0"/>
    <s v="DHS 6, Standard"/>
    <x v="24"/>
    <x v="0"/>
    <n v="0"/>
    <m/>
    <m/>
    <m/>
    <x v="10"/>
    <x v="0"/>
  </r>
  <r>
    <x v="101"/>
    <s v="Sub-Saharan Africa"/>
    <x v="0"/>
    <s v="Special"/>
    <x v="13"/>
    <x v="0"/>
    <n v="0"/>
    <m/>
    <m/>
    <m/>
    <x v="4"/>
    <x v="0"/>
  </r>
  <r>
    <x v="101"/>
    <s v="Sub-Saharan Africa"/>
    <x v="0"/>
    <s v="DHS, Standard"/>
    <x v="8"/>
    <x v="0"/>
    <n v="0"/>
    <m/>
    <m/>
    <m/>
    <x v="5"/>
    <x v="0"/>
  </r>
  <r>
    <x v="101"/>
    <s v="Sub-Saharan Africa"/>
    <x v="0"/>
    <s v="DHS, Standard"/>
    <x v="11"/>
    <x v="0"/>
    <n v="0"/>
    <m/>
    <m/>
    <m/>
    <x v="6"/>
    <x v="0"/>
  </r>
  <r>
    <x v="101"/>
    <s v="Sub-Saharan Africa"/>
    <x v="0"/>
    <s v="DHS, Standard"/>
    <x v="4"/>
    <x v="0"/>
    <n v="0"/>
    <m/>
    <m/>
    <m/>
    <x v="7"/>
    <x v="0"/>
  </r>
  <r>
    <x v="101"/>
    <s v="Sub-Saharan Africa"/>
    <x v="0"/>
    <s v="DHS, Standard"/>
    <x v="0"/>
    <x v="0"/>
    <n v="0"/>
    <m/>
    <m/>
    <m/>
    <x v="1"/>
    <x v="0"/>
  </r>
  <r>
    <x v="101"/>
    <s v="Sub-Saharan Africa"/>
    <x v="0"/>
    <s v="DHS 6, Standard"/>
    <x v="9"/>
    <x v="0"/>
    <n v="0"/>
    <m/>
    <m/>
    <m/>
    <x v="2"/>
    <x v="0"/>
  </r>
  <r>
    <x v="101"/>
    <s v="Sub-Saharan Africa"/>
    <x v="0"/>
    <s v="HIV/MCH SPA"/>
    <x v="9"/>
    <x v="0"/>
    <n v="0"/>
    <m/>
    <m/>
    <m/>
    <x v="0"/>
    <x v="0"/>
  </r>
  <r>
    <x v="101"/>
    <s v="Sub-Saharan Africa"/>
    <x v="0"/>
    <s v="MIS"/>
    <x v="18"/>
    <x v="0"/>
    <n v="0"/>
    <m/>
    <m/>
    <m/>
    <x v="3"/>
    <x v="0"/>
  </r>
  <r>
    <x v="101"/>
    <s v="Sub-Saharan Africa"/>
    <x v="1"/>
    <n v="1"/>
    <x v="10"/>
    <x v="0"/>
    <n v="1"/>
    <s v="Senegal"/>
    <m/>
    <n v="1995"/>
    <x v="12"/>
    <x v="0"/>
  </r>
  <r>
    <x v="101"/>
    <s v="Sub-Saharan Africa"/>
    <x v="1"/>
    <n v="2"/>
    <x v="1"/>
    <x v="0"/>
    <n v="0"/>
    <s v=""/>
    <m/>
    <n v="2000"/>
    <x v="9"/>
    <x v="0"/>
  </r>
  <r>
    <x v="102"/>
    <s v="Europe and Central Asia"/>
    <x v="2"/>
    <s v="Kosovo Living Standards Measurement Survey"/>
    <x v="1"/>
    <x v="0"/>
    <n v="1"/>
    <s v="Serbia"/>
    <m/>
    <m/>
    <x v="5"/>
    <x v="1"/>
  </r>
  <r>
    <x v="102"/>
    <s v="Europe and Central Asia"/>
    <x v="2"/>
    <s v="Living Standards Measurement Survey"/>
    <x v="6"/>
    <x v="0"/>
    <n v="0"/>
    <m/>
    <m/>
    <m/>
    <x v="6"/>
    <x v="0"/>
  </r>
  <r>
    <x v="102"/>
    <s v="Europe and Central Asia"/>
    <x v="2"/>
    <s v="Living Standards Measurement Survey"/>
    <x v="2"/>
    <x v="0"/>
    <n v="0"/>
    <m/>
    <m/>
    <m/>
    <x v="7"/>
    <x v="0"/>
  </r>
  <r>
    <x v="102"/>
    <s v="Europe and Central Asia"/>
    <x v="2"/>
    <s v="Living Standards Measurement Survey"/>
    <x v="14"/>
    <x v="0"/>
    <n v="0"/>
    <m/>
    <m/>
    <m/>
    <x v="2"/>
    <x v="0"/>
  </r>
  <r>
    <x v="102"/>
    <s v="Europe and Central Asia"/>
    <x v="1"/>
    <n v="3"/>
    <x v="11"/>
    <x v="0"/>
    <n v="1"/>
    <s v="Serbia"/>
    <m/>
    <n v="2005"/>
    <x v="1"/>
    <x v="0"/>
  </r>
  <r>
    <x v="102"/>
    <s v="Europe and Central Asia"/>
    <x v="1"/>
    <n v="4"/>
    <x v="0"/>
    <x v="0"/>
    <n v="0"/>
    <s v=""/>
    <m/>
    <n v="2010"/>
    <x v="0"/>
    <x v="0"/>
  </r>
  <r>
    <x v="102"/>
    <s v="Europe and Central Asia"/>
    <x v="1"/>
    <n v="4"/>
    <x v="0"/>
    <x v="0"/>
    <n v="0"/>
    <s v=""/>
    <s v="Roman settlements"/>
    <n v="2010"/>
    <x v="3"/>
    <x v="0"/>
  </r>
  <r>
    <x v="103"/>
    <s v="Sub-Saharan Africa"/>
    <x v="0"/>
    <s v="DHS, Standard"/>
    <x v="4"/>
    <x v="0"/>
    <n v="1"/>
    <s v="Sierra Leone"/>
    <m/>
    <m/>
    <x v="7"/>
    <x v="0"/>
  </r>
  <r>
    <x v="103"/>
    <s v="Sub-Saharan Africa"/>
    <x v="0"/>
    <s v="DHS 6, Special"/>
    <x v="18"/>
    <x v="0"/>
    <n v="0"/>
    <m/>
    <m/>
    <m/>
    <x v="0"/>
    <x v="0"/>
  </r>
  <r>
    <x v="103"/>
    <s v="Sub-Saharan Africa"/>
    <x v="0"/>
    <s v="MIS"/>
    <x v="18"/>
    <x v="0"/>
    <n v="0"/>
    <m/>
    <m/>
    <m/>
    <x v="3"/>
    <x v="0"/>
  </r>
  <r>
    <x v="103"/>
    <s v="Sub-Saharan Africa"/>
    <x v="5"/>
    <s v="IS"/>
    <x v="7"/>
    <x v="0"/>
    <n v="1"/>
    <s v="Sierra Leone"/>
    <m/>
    <n v="2003"/>
    <x v="5"/>
    <x v="0"/>
  </r>
  <r>
    <x v="103"/>
    <s v="Sub-Saharan Africa"/>
    <x v="5"/>
    <s v="IS"/>
    <x v="3"/>
    <x v="0"/>
    <n v="0"/>
    <m/>
    <m/>
    <m/>
    <x v="2"/>
    <x v="0"/>
  </r>
  <r>
    <x v="103"/>
    <s v="Sub-Saharan Africa"/>
    <x v="1"/>
    <n v="2"/>
    <x v="1"/>
    <x v="0"/>
    <n v="1"/>
    <s v="Sierra Leone"/>
    <m/>
    <n v="2000"/>
    <x v="9"/>
    <x v="1"/>
  </r>
  <r>
    <x v="103"/>
    <s v="Sub-Saharan Africa"/>
    <x v="1"/>
    <n v="3"/>
    <x v="8"/>
    <x v="0"/>
    <n v="0"/>
    <s v=""/>
    <m/>
    <n v="2005"/>
    <x v="6"/>
    <x v="0"/>
  </r>
  <r>
    <x v="103"/>
    <s v="Sub-Saharan Africa"/>
    <x v="1"/>
    <n v="4"/>
    <x v="0"/>
    <x v="0"/>
    <n v="0"/>
    <s v=""/>
    <m/>
    <n v="2010"/>
    <x v="1"/>
    <x v="0"/>
  </r>
  <r>
    <x v="103"/>
    <s v="Sub-Saharan Africa"/>
    <x v="4"/>
    <s v="CWIQ"/>
    <x v="14"/>
    <x v="0"/>
    <n v="1"/>
    <s v="Sierra Leone"/>
    <m/>
    <m/>
    <x v="4"/>
    <x v="0"/>
  </r>
  <r>
    <x v="104"/>
    <s v="Arab States"/>
    <x v="1"/>
    <n v="2"/>
    <x v="13"/>
    <x v="0"/>
    <n v="1"/>
    <s v="Somalia"/>
    <m/>
    <n v="1999"/>
    <x v="1"/>
    <x v="1"/>
  </r>
  <r>
    <x v="104"/>
    <s v="Arab States"/>
    <x v="1"/>
    <n v="3"/>
    <x v="11"/>
    <x v="0"/>
    <n v="0"/>
    <s v=""/>
    <m/>
    <n v="2006"/>
    <x v="2"/>
    <x v="0"/>
  </r>
  <r>
    <x v="104"/>
    <s v="Arab States"/>
    <x v="1"/>
    <n v="4"/>
    <x v="3"/>
    <x v="0"/>
    <n v="0"/>
    <s v="Northeastern Territories"/>
    <m/>
    <m/>
    <x v="0"/>
    <x v="0"/>
  </r>
  <r>
    <x v="104"/>
    <s v="Arab States"/>
    <x v="1"/>
    <n v="4"/>
    <x v="3"/>
    <x v="0"/>
    <n v="0"/>
    <s v="Somaliland"/>
    <m/>
    <m/>
    <x v="3"/>
    <x v="0"/>
  </r>
  <r>
    <x v="105"/>
    <s v="Sub-Saharan Africa"/>
    <x v="0"/>
    <s v="DHS, Continuous"/>
    <x v="20"/>
    <x v="0"/>
    <n v="1"/>
    <s v="South Africa"/>
    <m/>
    <m/>
    <x v="0"/>
    <x v="0"/>
  </r>
  <r>
    <x v="105"/>
    <s v="Sub-Saharan Africa"/>
    <x v="0"/>
    <s v="DHS, Standard"/>
    <x v="2"/>
    <x v="0"/>
    <n v="0"/>
    <m/>
    <m/>
    <m/>
    <x v="3"/>
    <x v="0"/>
  </r>
  <r>
    <x v="105"/>
    <s v="Sub-Saharan Africa"/>
    <x v="2"/>
    <s v="Integrated Household Survey"/>
    <x v="24"/>
    <x v="0"/>
    <n v="1"/>
    <s v="South Africa"/>
    <m/>
    <m/>
    <x v="2"/>
    <x v="1"/>
  </r>
  <r>
    <x v="106"/>
    <s v="Arab States"/>
    <x v="1"/>
    <n v="4"/>
    <x v="0"/>
    <x v="0"/>
    <n v="1"/>
    <s v="South Sudan"/>
    <m/>
    <m/>
    <x v="3"/>
    <x v="1"/>
  </r>
  <r>
    <x v="107"/>
    <s v="South Asia"/>
    <x v="0"/>
    <s v="DHS, Standard"/>
    <x v="25"/>
    <x v="0"/>
    <n v="1"/>
    <s v="Sri Lanka"/>
    <m/>
    <m/>
    <x v="0"/>
    <x v="1"/>
  </r>
  <r>
    <x v="107"/>
    <s v="South Asia"/>
    <x v="0"/>
    <s v="DHS 5, Standard"/>
    <x v="11"/>
    <x v="0"/>
    <n v="0"/>
    <m/>
    <m/>
    <m/>
    <x v="3"/>
    <x v="0"/>
  </r>
  <r>
    <x v="108"/>
    <s v="Latin America and Caribbean"/>
    <x v="4"/>
    <s v="CWIQ"/>
    <x v="7"/>
    <x v="0"/>
    <n v="0"/>
    <m/>
    <m/>
    <m/>
    <x v="0"/>
    <x v="1"/>
  </r>
  <r>
    <x v="108"/>
    <s v="Latin America and Caribbean"/>
    <x v="1"/>
    <n v="4"/>
    <x v="9"/>
    <x v="0"/>
    <n v="0"/>
    <m/>
    <m/>
    <m/>
    <x v="3"/>
    <x v="0"/>
  </r>
  <r>
    <x v="109"/>
    <s v="Arab States"/>
    <x v="0"/>
    <s v="DHS, Standard"/>
    <x v="26"/>
    <x v="0"/>
    <n v="1"/>
    <s v="Sudan"/>
    <m/>
    <m/>
    <x v="1"/>
    <x v="1"/>
  </r>
  <r>
    <x v="109"/>
    <s v="Arab States"/>
    <x v="1"/>
    <n v="2"/>
    <x v="1"/>
    <x v="0"/>
    <n v="1"/>
    <s v="Sudan"/>
    <m/>
    <n v="2000"/>
    <x v="2"/>
    <x v="0"/>
  </r>
  <r>
    <x v="109"/>
    <s v="Arab States"/>
    <x v="1"/>
    <n v="4"/>
    <x v="0"/>
    <x v="0"/>
    <n v="0"/>
    <m/>
    <m/>
    <m/>
    <x v="3"/>
    <x v="0"/>
  </r>
  <r>
    <x v="109"/>
    <s v="Arab States"/>
    <x v="3"/>
    <s v="Sudan Household Health Survey (SHHS)"/>
    <x v="11"/>
    <x v="0"/>
    <n v="1"/>
    <s v="Sudan"/>
    <m/>
    <m/>
    <x v="0"/>
    <x v="0"/>
  </r>
  <r>
    <x v="110"/>
    <s v="Latin America and Caribbean"/>
    <x v="1"/>
    <n v="2"/>
    <x v="1"/>
    <x v="0"/>
    <n v="1"/>
    <s v="Suriname"/>
    <m/>
    <n v="2000"/>
    <x v="2"/>
    <x v="1"/>
  </r>
  <r>
    <x v="110"/>
    <s v="Latin America and Caribbean"/>
    <x v="1"/>
    <n v="3"/>
    <x v="11"/>
    <x v="0"/>
    <n v="0"/>
    <s v=""/>
    <m/>
    <n v="2006"/>
    <x v="0"/>
    <x v="0"/>
  </r>
  <r>
    <x v="110"/>
    <s v="Latin America and Caribbean"/>
    <x v="1"/>
    <n v="4"/>
    <x v="0"/>
    <x v="0"/>
    <n v="0"/>
    <s v=""/>
    <m/>
    <n v="2010"/>
    <x v="3"/>
    <x v="0"/>
  </r>
  <r>
    <x v="111"/>
    <s v="Sub-Saharan Africa"/>
    <x v="0"/>
    <s v="MIS"/>
    <x v="11"/>
    <x v="0"/>
    <n v="1"/>
    <s v="Swaziland"/>
    <m/>
    <m/>
    <x v="0"/>
    <x v="0"/>
  </r>
  <r>
    <x v="111"/>
    <s v="Sub-Saharan Africa"/>
    <x v="1"/>
    <n v="2"/>
    <x v="1"/>
    <x v="0"/>
    <n v="1"/>
    <s v="Swaziland"/>
    <m/>
    <n v="2000"/>
    <x v="2"/>
    <x v="1"/>
  </r>
  <r>
    <x v="111"/>
    <s v="Sub-Saharan Africa"/>
    <x v="1"/>
    <n v="4"/>
    <x v="0"/>
    <x v="0"/>
    <n v="0"/>
    <s v=""/>
    <m/>
    <n v="2010"/>
    <x v="3"/>
    <x v="0"/>
  </r>
  <r>
    <x v="112"/>
    <s v="Arab States"/>
    <x v="1"/>
    <n v="2"/>
    <x v="1"/>
    <x v="0"/>
    <n v="1"/>
    <s v="Syrian Arab Republic"/>
    <m/>
    <n v="2000"/>
    <x v="2"/>
    <x v="1"/>
  </r>
  <r>
    <x v="112"/>
    <s v="Arab States"/>
    <x v="1"/>
    <n v="3"/>
    <x v="11"/>
    <x v="0"/>
    <n v="0"/>
    <s v=""/>
    <m/>
    <n v="2006"/>
    <x v="3"/>
    <x v="0"/>
  </r>
  <r>
    <x v="112"/>
    <s v="Arab States"/>
    <x v="3"/>
    <s v="Syrian Family Health Survey (SFHS)"/>
    <x v="12"/>
    <x v="0"/>
    <n v="0"/>
    <s v=""/>
    <m/>
    <m/>
    <x v="0"/>
    <x v="0"/>
  </r>
  <r>
    <x v="113"/>
    <s v="Europe and Central Asia"/>
    <x v="0"/>
    <s v="DHS, Standard"/>
    <x v="9"/>
    <x v="0"/>
    <n v="1"/>
    <s v="Tajikistan"/>
    <m/>
    <m/>
    <x v="3"/>
    <x v="0"/>
  </r>
  <r>
    <x v="113"/>
    <s v="Europe and Central Asia"/>
    <x v="2"/>
    <s v="Living Standards Measurement Survey"/>
    <x v="13"/>
    <x v="0"/>
    <n v="1"/>
    <s v="Tajikistan"/>
    <m/>
    <m/>
    <x v="5"/>
    <x v="1"/>
  </r>
  <r>
    <x v="113"/>
    <s v="Europe and Central Asia"/>
    <x v="2"/>
    <s v="Living Standards Measurement Survey"/>
    <x v="2"/>
    <x v="0"/>
    <n v="0"/>
    <s v=""/>
    <m/>
    <m/>
    <x v="7"/>
    <x v="0"/>
  </r>
  <r>
    <x v="113"/>
    <s v="Europe and Central Asia"/>
    <x v="2"/>
    <s v="Living Standards Survey"/>
    <x v="14"/>
    <x v="0"/>
    <n v="0"/>
    <m/>
    <m/>
    <m/>
    <x v="2"/>
    <x v="0"/>
  </r>
  <r>
    <x v="113"/>
    <s v="Europe and Central Asia"/>
    <x v="2"/>
    <s v="Living Standards Survey"/>
    <x v="15"/>
    <x v="0"/>
    <n v="0"/>
    <m/>
    <m/>
    <m/>
    <x v="0"/>
    <x v="0"/>
  </r>
  <r>
    <x v="113"/>
    <s v="Europe and Central Asia"/>
    <x v="1"/>
    <n v="2"/>
    <x v="1"/>
    <x v="0"/>
    <n v="1"/>
    <s v="Tajikistan"/>
    <m/>
    <n v="2000"/>
    <x v="6"/>
    <x v="0"/>
  </r>
  <r>
    <x v="113"/>
    <s v="Europe and Central Asia"/>
    <x v="1"/>
    <n v="3"/>
    <x v="8"/>
    <x v="0"/>
    <n v="0"/>
    <s v=""/>
    <m/>
    <n v="2005"/>
    <x v="1"/>
    <x v="0"/>
  </r>
  <r>
    <x v="114"/>
    <s v="Sub-Saharan Africa"/>
    <x v="4"/>
    <s v="Baseline Survey"/>
    <x v="2"/>
    <x v="0"/>
    <n v="1"/>
    <s v="Tanzania"/>
    <m/>
    <m/>
    <x v="19"/>
    <x v="0"/>
  </r>
  <r>
    <x v="114"/>
    <s v="Sub-Saharan Africa"/>
    <x v="4"/>
    <s v="Baseline Survey"/>
    <x v="7"/>
    <x v="0"/>
    <n v="0"/>
    <m/>
    <m/>
    <m/>
    <x v="11"/>
    <x v="0"/>
  </r>
  <r>
    <x v="114"/>
    <s v="Sub-Saharan Africa"/>
    <x v="4"/>
    <s v="Baseline Survey"/>
    <x v="8"/>
    <x v="0"/>
    <n v="0"/>
    <m/>
    <m/>
    <m/>
    <x v="8"/>
    <x v="0"/>
  </r>
  <r>
    <x v="114"/>
    <s v="Sub-Saharan Africa"/>
    <x v="4"/>
    <s v="Survey on Poverty and Welfare"/>
    <x v="14"/>
    <x v="0"/>
    <n v="0"/>
    <m/>
    <m/>
    <m/>
    <x v="9"/>
    <x v="0"/>
  </r>
  <r>
    <x v="114"/>
    <s v="Sub-Saharan Africa"/>
    <x v="0"/>
    <s v="DHS, Standard"/>
    <x v="28"/>
    <x v="0"/>
    <n v="1"/>
    <s v="Tanzania"/>
    <m/>
    <m/>
    <x v="21"/>
    <x v="0"/>
  </r>
  <r>
    <x v="114"/>
    <s v="Sub-Saharan Africa"/>
    <x v="0"/>
    <s v="DHS, Standard"/>
    <x v="16"/>
    <x v="0"/>
    <n v="0"/>
    <m/>
    <s v="Brazzaville"/>
    <m/>
    <x v="16"/>
    <x v="0"/>
  </r>
  <r>
    <x v="114"/>
    <s v="Sub-Saharan Africa"/>
    <x v="0"/>
    <s v="DHS, Standard"/>
    <x v="10"/>
    <x v="0"/>
    <n v="0"/>
    <m/>
    <m/>
    <m/>
    <x v="17"/>
    <x v="0"/>
  </r>
  <r>
    <x v="114"/>
    <s v="Sub-Saharan Africa"/>
    <x v="0"/>
    <s v="DHS, Standard"/>
    <x v="5"/>
    <x v="0"/>
    <n v="0"/>
    <m/>
    <m/>
    <m/>
    <x v="18"/>
    <x v="0"/>
  </r>
  <r>
    <x v="114"/>
    <s v="Sub-Saharan Africa"/>
    <x v="0"/>
    <s v="MICS"/>
    <x v="13"/>
    <x v="0"/>
    <n v="0"/>
    <m/>
    <m/>
    <m/>
    <x v="15"/>
    <x v="0"/>
  </r>
  <r>
    <x v="114"/>
    <s v="Sub-Saharan Africa"/>
    <x v="0"/>
    <s v="DHS, Standard"/>
    <x v="2"/>
    <x v="0"/>
    <n v="0"/>
    <m/>
    <m/>
    <m/>
    <x v="13"/>
    <x v="0"/>
  </r>
  <r>
    <x v="114"/>
    <s v="Sub-Saharan Africa"/>
    <x v="0"/>
    <s v="Special"/>
    <x v="7"/>
    <x v="0"/>
    <n v="0"/>
    <m/>
    <m/>
    <m/>
    <x v="10"/>
    <x v="0"/>
  </r>
  <r>
    <x v="114"/>
    <s v="Sub-Saharan Africa"/>
    <x v="0"/>
    <s v="MIS"/>
    <x v="11"/>
    <x v="0"/>
    <n v="0"/>
    <m/>
    <m/>
    <m/>
    <x v="4"/>
    <x v="0"/>
  </r>
  <r>
    <x v="114"/>
    <s v="Sub-Saharan Africa"/>
    <x v="0"/>
    <s v="MIS"/>
    <x v="14"/>
    <x v="0"/>
    <n v="0"/>
    <m/>
    <m/>
    <m/>
    <x v="5"/>
    <x v="0"/>
  </r>
  <r>
    <x v="114"/>
    <s v="Sub-Saharan Africa"/>
    <x v="0"/>
    <s v="DHS, Standard"/>
    <x v="0"/>
    <x v="0"/>
    <n v="0"/>
    <m/>
    <m/>
    <m/>
    <x v="7"/>
    <x v="0"/>
  </r>
  <r>
    <x v="114"/>
    <s v="Sub-Saharan Africa"/>
    <x v="0"/>
    <s v="DHS, Standard"/>
    <x v="9"/>
    <x v="0"/>
    <n v="0"/>
    <m/>
    <m/>
    <m/>
    <x v="0"/>
    <x v="0"/>
  </r>
  <r>
    <x v="114"/>
    <s v="Sub-Saharan Africa"/>
    <x v="0"/>
    <s v="DHS, Continuous"/>
    <x v="18"/>
    <x v="0"/>
    <n v="0"/>
    <m/>
    <m/>
    <m/>
    <x v="3"/>
    <x v="0"/>
  </r>
  <r>
    <x v="114"/>
    <s v="Sub-Saharan Africa"/>
    <x v="2"/>
    <s v="Kagera Health and Development Survey Wave 1"/>
    <x v="23"/>
    <x v="0"/>
    <n v="1"/>
    <s v="Tanzania"/>
    <m/>
    <m/>
    <x v="20"/>
    <x v="1"/>
  </r>
  <r>
    <x v="114"/>
    <s v="Sub-Saharan Africa"/>
    <x v="2"/>
    <s v="Kagera Health and Development Survey Wave 2"/>
    <x v="28"/>
    <x v="0"/>
    <n v="0"/>
    <m/>
    <m/>
    <m/>
    <x v="22"/>
    <x v="0"/>
  </r>
  <r>
    <x v="114"/>
    <s v="Sub-Saharan Africa"/>
    <x v="2"/>
    <s v="Human Resource Development Survey"/>
    <x v="24"/>
    <x v="0"/>
    <n v="0"/>
    <m/>
    <m/>
    <m/>
    <x v="23"/>
    <x v="0"/>
  </r>
  <r>
    <x v="114"/>
    <s v="Sub-Saharan Africa"/>
    <x v="2"/>
    <s v="Kagera Health and Development Survey Wave 3"/>
    <x v="24"/>
    <x v="0"/>
    <n v="0"/>
    <m/>
    <m/>
    <m/>
    <x v="24"/>
    <x v="0"/>
  </r>
  <r>
    <x v="114"/>
    <s v="Sub-Saharan Africa"/>
    <x v="2"/>
    <s v="Kagera Health and Development Survey Wave 4"/>
    <x v="16"/>
    <x v="0"/>
    <n v="0"/>
    <m/>
    <m/>
    <m/>
    <x v="14"/>
    <x v="0"/>
  </r>
  <r>
    <x v="114"/>
    <s v="Sub-Saharan Africa"/>
    <x v="2"/>
    <s v="Kagera Health and Development Survey Wave 5"/>
    <x v="7"/>
    <x v="0"/>
    <n v="0"/>
    <m/>
    <m/>
    <m/>
    <x v="12"/>
    <x v="0"/>
  </r>
  <r>
    <x v="114"/>
    <s v="Sub-Saharan Africa"/>
    <x v="2"/>
    <s v="National Panel Survey"/>
    <x v="4"/>
    <x v="0"/>
    <n v="0"/>
    <m/>
    <m/>
    <m/>
    <x v="6"/>
    <x v="0"/>
  </r>
  <r>
    <x v="114"/>
    <s v="Sub-Saharan Africa"/>
    <x v="2"/>
    <s v="Kagera Health and Development Survey Wave 6"/>
    <x v="0"/>
    <x v="0"/>
    <n v="0"/>
    <m/>
    <m/>
    <m/>
    <x v="1"/>
    <x v="0"/>
  </r>
  <r>
    <x v="114"/>
    <s v="Sub-Saharan Africa"/>
    <x v="2"/>
    <s v="National Panel Survey"/>
    <x v="0"/>
    <x v="0"/>
    <n v="0"/>
    <m/>
    <m/>
    <m/>
    <x v="2"/>
    <x v="0"/>
  </r>
  <r>
    <x v="115"/>
    <s v="East Asia and the Pacific"/>
    <x v="0"/>
    <s v="Special"/>
    <x v="25"/>
    <x v="0"/>
    <n v="1"/>
    <s v="Thailand"/>
    <m/>
    <m/>
    <x v="2"/>
    <x v="1"/>
  </r>
  <r>
    <x v="115"/>
    <s v="East Asia and the Pacific"/>
    <x v="1"/>
    <n v="3"/>
    <x v="11"/>
    <x v="0"/>
    <n v="1"/>
    <s v="Thailand"/>
    <m/>
    <n v="2005"/>
    <x v="0"/>
    <x v="0"/>
  </r>
  <r>
    <x v="115"/>
    <s v="East Asia and the Pacific"/>
    <x v="1"/>
    <n v="4"/>
    <x v="9"/>
    <x v="0"/>
    <n v="0"/>
    <m/>
    <m/>
    <m/>
    <x v="3"/>
    <x v="0"/>
  </r>
  <r>
    <x v="116"/>
    <s v="East Asia and the Pacific"/>
    <x v="0"/>
    <s v="Standard AIS"/>
    <x v="15"/>
    <x v="0"/>
    <n v="1"/>
    <s v="Timor-Leste"/>
    <m/>
    <m/>
    <x v="3"/>
    <x v="1"/>
  </r>
  <r>
    <x v="116"/>
    <s v="East Asia and the Pacific"/>
    <x v="2"/>
    <s v="Living Standards Survey"/>
    <x v="12"/>
    <x v="0"/>
    <n v="1"/>
    <s v="Timor-Leste"/>
    <m/>
    <m/>
    <x v="0"/>
    <x v="0"/>
  </r>
  <r>
    <x v="116"/>
    <s v="East Asia and the Pacific"/>
    <x v="2"/>
    <s v="Survey of Living Standards"/>
    <x v="14"/>
    <x v="0"/>
    <n v="0"/>
    <s v=""/>
    <m/>
    <m/>
    <x v="2"/>
    <x v="0"/>
  </r>
  <r>
    <x v="117"/>
    <s v="Sub-Saharan Africa"/>
    <x v="4"/>
    <s v="CWIQ"/>
    <x v="11"/>
    <x v="0"/>
    <n v="1"/>
    <s v="Togo"/>
    <m/>
    <m/>
    <x v="1"/>
    <x v="0"/>
  </r>
  <r>
    <x v="117"/>
    <s v="Sub-Saharan Africa"/>
    <x v="4"/>
    <s v="CWIQ"/>
    <x v="3"/>
    <x v="0"/>
    <n v="0"/>
    <m/>
    <m/>
    <m/>
    <x v="0"/>
    <x v="0"/>
  </r>
  <r>
    <x v="117"/>
    <s v="Sub-Saharan Africa"/>
    <x v="0"/>
    <s v="DHS, Standard"/>
    <x v="21"/>
    <x v="0"/>
    <n v="1"/>
    <s v="Togo"/>
    <m/>
    <m/>
    <x v="9"/>
    <x v="1"/>
  </r>
  <r>
    <x v="117"/>
    <s v="Sub-Saharan Africa"/>
    <x v="0"/>
    <s v="DHS, Standard"/>
    <x v="20"/>
    <x v="0"/>
    <n v="0"/>
    <m/>
    <m/>
    <m/>
    <x v="5"/>
    <x v="0"/>
  </r>
  <r>
    <x v="117"/>
    <s v="Sub-Saharan Africa"/>
    <x v="0"/>
    <s v="MIS"/>
    <x v="18"/>
    <x v="0"/>
    <n v="0"/>
    <m/>
    <m/>
    <m/>
    <x v="3"/>
    <x v="0"/>
  </r>
  <r>
    <x v="117"/>
    <s v="Sub-Saharan Africa"/>
    <x v="1"/>
    <n v="2"/>
    <x v="1"/>
    <x v="0"/>
    <n v="1"/>
    <s v="Togo"/>
    <m/>
    <n v="2000"/>
    <x v="6"/>
    <x v="0"/>
  </r>
  <r>
    <x v="117"/>
    <s v="Sub-Saharan Africa"/>
    <x v="1"/>
    <n v="3"/>
    <x v="11"/>
    <x v="0"/>
    <n v="0"/>
    <s v=""/>
    <m/>
    <n v="2006"/>
    <x v="7"/>
    <x v="0"/>
  </r>
  <r>
    <x v="117"/>
    <s v="Sub-Saharan Africa"/>
    <x v="1"/>
    <n v="4"/>
    <x v="0"/>
    <x v="0"/>
    <n v="0"/>
    <s v=""/>
    <m/>
    <n v="2010"/>
    <x v="2"/>
    <x v="0"/>
  </r>
  <r>
    <x v="118"/>
    <s v="Latin America and Caribbean"/>
    <x v="0"/>
    <s v="DHS, Standard"/>
    <x v="25"/>
    <x v="0"/>
    <n v="1"/>
    <s v="Trinidad and Tobago"/>
    <m/>
    <m/>
    <x v="1"/>
    <x v="1"/>
  </r>
  <r>
    <x v="118"/>
    <s v="Latin America and Caribbean"/>
    <x v="5"/>
    <s v="IS"/>
    <x v="28"/>
    <x v="0"/>
    <n v="1"/>
    <s v="Trinidad and Tobago"/>
    <m/>
    <m/>
    <x v="7"/>
    <x v="0"/>
  </r>
  <r>
    <x v="118"/>
    <s v="Latin America and Caribbean"/>
    <x v="1"/>
    <n v="2"/>
    <x v="1"/>
    <x v="0"/>
    <n v="1"/>
    <s v="Trinidad and Tobago"/>
    <m/>
    <n v="2000"/>
    <x v="2"/>
    <x v="0"/>
  </r>
  <r>
    <x v="118"/>
    <s v="Latin America and Caribbean"/>
    <x v="1"/>
    <n v="3"/>
    <x v="11"/>
    <x v="0"/>
    <n v="0"/>
    <s v=""/>
    <m/>
    <n v="2006"/>
    <x v="0"/>
    <x v="0"/>
  </r>
  <r>
    <x v="118"/>
    <s v="Latin America and Caribbean"/>
    <x v="1"/>
    <n v="4"/>
    <x v="3"/>
    <x v="0"/>
    <n v="0"/>
    <m/>
    <m/>
    <m/>
    <x v="3"/>
    <x v="0"/>
  </r>
  <r>
    <x v="119"/>
    <s v="Arab States"/>
    <x v="0"/>
    <s v="DHS, Standard"/>
    <x v="21"/>
    <x v="0"/>
    <n v="1"/>
    <s v="Tunisia"/>
    <m/>
    <m/>
    <x v="1"/>
    <x v="1"/>
  </r>
  <r>
    <x v="119"/>
    <s v="Arab States"/>
    <x v="1"/>
    <n v="2"/>
    <x v="1"/>
    <x v="0"/>
    <n v="1"/>
    <s v="Tunisia"/>
    <m/>
    <n v="2000"/>
    <x v="2"/>
    <x v="0"/>
  </r>
  <r>
    <x v="119"/>
    <s v="Arab States"/>
    <x v="1"/>
    <n v="3"/>
    <x v="11"/>
    <x v="0"/>
    <n v="0"/>
    <s v=""/>
    <m/>
    <n v="2006"/>
    <x v="3"/>
    <x v="0"/>
  </r>
  <r>
    <x v="119"/>
    <s v="Arab States"/>
    <x v="1"/>
    <n v="4"/>
    <x v="9"/>
    <x v="0"/>
    <n v="0"/>
    <s v=""/>
    <m/>
    <m/>
    <x v="7"/>
    <x v="0"/>
  </r>
  <r>
    <x v="119"/>
    <s v="Arab States"/>
    <x v="3"/>
    <s v="Tunisian Family Health Survey (TFHS)"/>
    <x v="6"/>
    <x v="0"/>
    <n v="1"/>
    <s v="Tunisia"/>
    <m/>
    <m/>
    <x v="0"/>
    <x v="0"/>
  </r>
  <r>
    <x v="120"/>
    <s v="Europe and Central Asia"/>
    <x v="0"/>
    <s v="DHS, Standard"/>
    <x v="24"/>
    <x v="0"/>
    <n v="1"/>
    <s v="Turkey"/>
    <m/>
    <m/>
    <x v="2"/>
    <x v="1"/>
  </r>
  <r>
    <x v="120"/>
    <s v="Europe and Central Asia"/>
    <x v="0"/>
    <s v="DHS, Standard"/>
    <x v="20"/>
    <x v="0"/>
    <n v="0"/>
    <m/>
    <m/>
    <m/>
    <x v="0"/>
    <x v="0"/>
  </r>
  <r>
    <x v="120"/>
    <s v="Europe and Central Asia"/>
    <x v="0"/>
    <s v="DHS, Standard"/>
    <x v="2"/>
    <x v="0"/>
    <n v="0"/>
    <m/>
    <m/>
    <m/>
    <x v="3"/>
    <x v="0"/>
  </r>
  <r>
    <x v="121"/>
    <s v="Europe and Central Asia"/>
    <x v="0"/>
    <s v="DHS, Standard"/>
    <x v="1"/>
    <x v="0"/>
    <n v="1"/>
    <s v="Turkmenistan"/>
    <m/>
    <m/>
    <x v="2"/>
    <x v="1"/>
  </r>
  <r>
    <x v="121"/>
    <s v="Europe and Central Asia"/>
    <x v="5"/>
    <s v="IS"/>
    <x v="2"/>
    <x v="0"/>
    <n v="1"/>
    <s v="Turkmenistan"/>
    <m/>
    <m/>
    <x v="0"/>
    <x v="0"/>
  </r>
  <r>
    <x v="121"/>
    <s v="Europe and Central Asia"/>
    <x v="1"/>
    <n v="3"/>
    <x v="11"/>
    <x v="0"/>
    <n v="1"/>
    <s v="Turkmenistan"/>
    <m/>
    <n v="2006"/>
    <x v="3"/>
    <x v="0"/>
  </r>
  <r>
    <x v="122"/>
    <s v="Sub-Saharan Africa"/>
    <x v="0"/>
    <s v="DHS, Standard"/>
    <x v="21"/>
    <x v="0"/>
    <n v="1"/>
    <s v="Uganda"/>
    <m/>
    <m/>
    <x v="10"/>
    <x v="1"/>
  </r>
  <r>
    <x v="122"/>
    <s v="Sub-Saharan Africa"/>
    <x v="0"/>
    <s v="DHS, Standard"/>
    <x v="10"/>
    <x v="0"/>
    <n v="0"/>
    <m/>
    <m/>
    <m/>
    <x v="12"/>
    <x v="0"/>
  </r>
  <r>
    <x v="122"/>
    <s v="Sub-Saharan Africa"/>
    <x v="0"/>
    <s v="DHS, Standard"/>
    <x v="10"/>
    <x v="0"/>
    <n v="0"/>
    <m/>
    <m/>
    <m/>
    <x v="8"/>
    <x v="0"/>
  </r>
  <r>
    <x v="122"/>
    <s v="Sub-Saharan Africa"/>
    <x v="0"/>
    <s v="MIS"/>
    <x v="1"/>
    <x v="0"/>
    <n v="0"/>
    <m/>
    <m/>
    <m/>
    <x v="4"/>
    <x v="0"/>
  </r>
  <r>
    <x v="122"/>
    <s v="Sub-Saharan Africa"/>
    <x v="0"/>
    <s v="DHS, Standard"/>
    <x v="7"/>
    <x v="0"/>
    <n v="0"/>
    <m/>
    <m/>
    <m/>
    <x v="9"/>
    <x v="0"/>
  </r>
  <r>
    <x v="122"/>
    <s v="Sub-Saharan Africa"/>
    <x v="0"/>
    <s v="DHS, Standard"/>
    <x v="11"/>
    <x v="0"/>
    <n v="0"/>
    <m/>
    <m/>
    <m/>
    <x v="5"/>
    <x v="0"/>
  </r>
  <r>
    <x v="122"/>
    <s v="Sub-Saharan Africa"/>
    <x v="0"/>
    <s v="DHS, Standard"/>
    <x v="14"/>
    <x v="0"/>
    <n v="0"/>
    <m/>
    <m/>
    <m/>
    <x v="6"/>
    <x v="0"/>
  </r>
  <r>
    <x v="122"/>
    <s v="Sub-Saharan Africa"/>
    <x v="0"/>
    <s v="DHS, Continuous"/>
    <x v="15"/>
    <x v="0"/>
    <n v="0"/>
    <m/>
    <m/>
    <m/>
    <x v="7"/>
    <x v="0"/>
  </r>
  <r>
    <x v="122"/>
    <s v="Sub-Saharan Africa"/>
    <x v="0"/>
    <s v="DHS, Continuous"/>
    <x v="3"/>
    <x v="0"/>
    <n v="0"/>
    <m/>
    <m/>
    <m/>
    <x v="0"/>
    <x v="0"/>
  </r>
  <r>
    <x v="122"/>
    <s v="Sub-Saharan Africa"/>
    <x v="0"/>
    <s v="HIV/MCH SPA"/>
    <x v="3"/>
    <x v="0"/>
    <n v="0"/>
    <m/>
    <m/>
    <m/>
    <x v="3"/>
    <x v="0"/>
  </r>
  <r>
    <x v="122"/>
    <s v="Sub-Saharan Africa"/>
    <x v="2"/>
    <s v="National Panel Survey"/>
    <x v="15"/>
    <x v="0"/>
    <n v="1"/>
    <s v="Uganda"/>
    <m/>
    <m/>
    <x v="1"/>
    <x v="0"/>
  </r>
  <r>
    <x v="122"/>
    <s v="Sub-Saharan Africa"/>
    <x v="2"/>
    <s v="National Panel Survey"/>
    <x v="0"/>
    <x v="0"/>
    <n v="0"/>
    <m/>
    <m/>
    <m/>
    <x v="2"/>
    <x v="0"/>
  </r>
  <r>
    <x v="122"/>
    <s v="Sub-Saharan Africa"/>
    <x v="2"/>
    <s v="National Panel Survey"/>
    <x v="3"/>
    <x v="0"/>
    <n v="0"/>
    <m/>
    <m/>
    <m/>
    <x v="7"/>
    <x v="0"/>
  </r>
  <r>
    <x v="123"/>
    <s v="Europe and Central Asia"/>
    <x v="0"/>
    <s v="DHS, Standard"/>
    <x v="14"/>
    <x v="0"/>
    <n v="1"/>
    <s v="Ukraine"/>
    <m/>
    <m/>
    <x v="0"/>
    <x v="0"/>
  </r>
  <r>
    <x v="123"/>
    <s v="Europe and Central Asia"/>
    <x v="1"/>
    <n v="2"/>
    <x v="1"/>
    <x v="0"/>
    <n v="1"/>
    <s v="Ukraine"/>
    <m/>
    <n v="2000"/>
    <x v="1"/>
    <x v="1"/>
  </r>
  <r>
    <x v="123"/>
    <s v="Europe and Central Asia"/>
    <x v="1"/>
    <n v="3"/>
    <x v="8"/>
    <x v="0"/>
    <n v="0"/>
    <s v=""/>
    <m/>
    <n v="2005"/>
    <x v="2"/>
    <x v="0"/>
  </r>
  <r>
    <x v="123"/>
    <s v="Europe and Central Asia"/>
    <x v="1"/>
    <n v="4"/>
    <x v="9"/>
    <x v="0"/>
    <n v="0"/>
    <m/>
    <m/>
    <m/>
    <x v="3"/>
    <x v="0"/>
  </r>
  <r>
    <x v="124"/>
    <s v="Latin America and Caribbean"/>
    <x v="1"/>
    <n v="4"/>
    <x v="9"/>
    <x v="0"/>
    <n v="1"/>
    <s v="Uruguay"/>
    <s v="WHO preivously"/>
    <m/>
    <x v="3"/>
    <x v="1"/>
  </r>
  <r>
    <x v="125"/>
    <s v="Europe and Central Asia"/>
    <x v="0"/>
    <s v="Standard AIS"/>
    <x v="5"/>
    <x v="0"/>
    <n v="1"/>
    <s v="Uzbekistan"/>
    <m/>
    <m/>
    <x v="1"/>
    <x v="1"/>
  </r>
  <r>
    <x v="125"/>
    <s v="Europe and Central Asia"/>
    <x v="0"/>
    <s v="DHS, Standard"/>
    <x v="6"/>
    <x v="0"/>
    <n v="0"/>
    <m/>
    <m/>
    <m/>
    <x v="0"/>
    <x v="0"/>
  </r>
  <r>
    <x v="125"/>
    <s v="Europe and Central Asia"/>
    <x v="1"/>
    <n v="2"/>
    <x v="1"/>
    <x v="0"/>
    <n v="1"/>
    <s v="Uzbekistan"/>
    <m/>
    <n v="2000"/>
    <x v="2"/>
    <x v="0"/>
  </r>
  <r>
    <x v="125"/>
    <s v="Europe and Central Asia"/>
    <x v="1"/>
    <n v="3"/>
    <x v="11"/>
    <x v="0"/>
    <n v="0"/>
    <s v=""/>
    <m/>
    <n v="2006"/>
    <x v="3"/>
    <x v="0"/>
  </r>
  <r>
    <x v="126"/>
    <s v="East Asia and the Pacific"/>
    <x v="1"/>
    <n v="3"/>
    <x v="14"/>
    <x v="0"/>
    <n v="1"/>
    <s v="Vanuatu"/>
    <m/>
    <n v="2007"/>
    <x v="3"/>
    <x v="1"/>
  </r>
  <r>
    <x v="127"/>
    <s v="Latin America and Caribbean"/>
    <x v="1"/>
    <n v="2"/>
    <x v="1"/>
    <x v="0"/>
    <n v="1"/>
    <s v="Venezuela"/>
    <m/>
    <n v="2000"/>
    <x v="3"/>
    <x v="1"/>
  </r>
  <r>
    <x v="128"/>
    <s v="East Asia and the Pacific"/>
    <x v="0"/>
    <s v="DHS, Standard"/>
    <x v="17"/>
    <x v="0"/>
    <n v="1"/>
    <s v="Viet Nam"/>
    <m/>
    <m/>
    <x v="10"/>
    <x v="0"/>
  </r>
  <r>
    <x v="128"/>
    <s v="East Asia and the Pacific"/>
    <x v="0"/>
    <s v="HIV/MCH SPA"/>
    <x v="6"/>
    <x v="0"/>
    <n v="0"/>
    <m/>
    <m/>
    <m/>
    <x v="4"/>
    <x v="0"/>
  </r>
  <r>
    <x v="128"/>
    <s v="East Asia and the Pacific"/>
    <x v="0"/>
    <s v="DHS, Standard"/>
    <x v="8"/>
    <x v="0"/>
    <n v="0"/>
    <m/>
    <m/>
    <m/>
    <x v="5"/>
    <x v="0"/>
  </r>
  <r>
    <x v="128"/>
    <s v="East Asia and the Pacific"/>
    <x v="2"/>
    <s v="Living Standards Survey"/>
    <x v="28"/>
    <x v="0"/>
    <n v="1"/>
    <m/>
    <m/>
    <m/>
    <x v="13"/>
    <x v="1"/>
  </r>
  <r>
    <x v="128"/>
    <s v="East Asia and the Pacific"/>
    <x v="2"/>
    <s v="Household Living Standards Survey"/>
    <x v="6"/>
    <x v="0"/>
    <n v="0"/>
    <m/>
    <m/>
    <m/>
    <x v="8"/>
    <x v="0"/>
  </r>
  <r>
    <x v="128"/>
    <s v="East Asia and the Pacific"/>
    <x v="2"/>
    <s v="Household Living Standards Survey"/>
    <x v="7"/>
    <x v="0"/>
    <n v="0"/>
    <m/>
    <m/>
    <m/>
    <x v="9"/>
    <x v="0"/>
  </r>
  <r>
    <x v="128"/>
    <s v="East Asia and the Pacific"/>
    <x v="2"/>
    <s v="Household Living Standards Survey"/>
    <x v="11"/>
    <x v="0"/>
    <n v="0"/>
    <m/>
    <m/>
    <m/>
    <x v="6"/>
    <x v="0"/>
  </r>
  <r>
    <x v="128"/>
    <s v="East Asia and the Pacific"/>
    <x v="2"/>
    <s v="Household Living Standards Survey"/>
    <x v="4"/>
    <x v="0"/>
    <n v="0"/>
    <m/>
    <m/>
    <m/>
    <x v="1"/>
    <x v="0"/>
  </r>
  <r>
    <x v="128"/>
    <s v="East Asia and the Pacific"/>
    <x v="2"/>
    <s v="Household Living Standards Survey"/>
    <x v="0"/>
    <x v="0"/>
    <n v="0"/>
    <m/>
    <m/>
    <m/>
    <x v="2"/>
    <x v="0"/>
  </r>
  <r>
    <x v="128"/>
    <s v="East Asia and the Pacific"/>
    <x v="1"/>
    <n v="2"/>
    <x v="1"/>
    <x v="0"/>
    <n v="1"/>
    <s v="Viet Nam"/>
    <m/>
    <n v="2000"/>
    <x v="12"/>
    <x v="0"/>
  </r>
  <r>
    <x v="128"/>
    <s v="East Asia and the Pacific"/>
    <x v="1"/>
    <n v="3"/>
    <x v="11"/>
    <x v="0"/>
    <n v="0"/>
    <s v=""/>
    <m/>
    <n v="2006"/>
    <x v="7"/>
    <x v="0"/>
  </r>
  <r>
    <x v="128"/>
    <s v="East Asia and the Pacific"/>
    <x v="1"/>
    <n v="4"/>
    <x v="3"/>
    <x v="0"/>
    <n v="0"/>
    <s v=""/>
    <m/>
    <n v="2010"/>
    <x v="0"/>
    <x v="0"/>
  </r>
  <r>
    <x v="128"/>
    <s v="East Asia and the Pacific"/>
    <x v="1"/>
    <n v="3"/>
    <x v="29"/>
    <x v="0"/>
    <n v="0"/>
    <m/>
    <m/>
    <n v="2013"/>
    <x v="3"/>
    <x v="0"/>
  </r>
  <r>
    <x v="128"/>
    <s v="East Asia and the Pacific"/>
    <x v="2"/>
    <s v="Living Standards Survey"/>
    <x v="17"/>
    <x v="0"/>
    <n v="0"/>
    <m/>
    <m/>
    <m/>
    <x v="11"/>
    <x v="0"/>
  </r>
  <r>
    <x v="129"/>
    <s v="Arab States"/>
    <x v="0"/>
    <s v="HIV/MCH SPA"/>
    <x v="17"/>
    <x v="0"/>
    <n v="0"/>
    <m/>
    <m/>
    <m/>
    <x v="1"/>
    <x v="0"/>
  </r>
  <r>
    <x v="129"/>
    <s v="Arab States"/>
    <x v="0"/>
    <s v="MIS"/>
    <x v="23"/>
    <x v="0"/>
    <n v="1"/>
    <s v="Yemen"/>
    <m/>
    <m/>
    <x v="7"/>
    <x v="1"/>
  </r>
  <r>
    <x v="129"/>
    <s v="Arab States"/>
    <x v="0"/>
    <s v="DHS, Standard"/>
    <x v="18"/>
    <x v="0"/>
    <n v="0"/>
    <m/>
    <m/>
    <m/>
    <x v="3"/>
    <x v="0"/>
  </r>
  <r>
    <x v="129"/>
    <s v="Arab States"/>
    <x v="1"/>
    <n v="3"/>
    <x v="11"/>
    <x v="0"/>
    <n v="1"/>
    <s v="Yemen"/>
    <m/>
    <n v="2006"/>
    <x v="0"/>
    <x v="0"/>
  </r>
  <r>
    <x v="129"/>
    <s v="Arab States"/>
    <x v="3"/>
    <s v="Yemen Family Health Survey (YFHS)"/>
    <x v="2"/>
    <x v="0"/>
    <n v="1"/>
    <s v="Yemen"/>
    <m/>
    <m/>
    <x v="2"/>
    <x v="0"/>
  </r>
  <r>
    <x v="130"/>
    <s v="Europe and Central Asia"/>
    <x v="1"/>
    <n v="1"/>
    <x v="5"/>
    <x v="0"/>
    <n v="1"/>
    <s v="Yugoslavia"/>
    <m/>
    <n v="1996"/>
    <x v="0"/>
    <x v="1"/>
  </r>
  <r>
    <x v="130"/>
    <s v="Europe and Central Asia"/>
    <x v="1"/>
    <n v="2"/>
    <x v="1"/>
    <x v="0"/>
    <n v="0"/>
    <s v=""/>
    <m/>
    <n v="2000"/>
    <x v="3"/>
    <x v="0"/>
  </r>
  <r>
    <x v="131"/>
    <s v="Sub-Saharan Africa"/>
    <x v="0"/>
    <s v="DHS, Standard"/>
    <x v="28"/>
    <x v="0"/>
    <n v="1"/>
    <s v="Zambia"/>
    <m/>
    <m/>
    <x v="9"/>
    <x v="1"/>
  </r>
  <r>
    <x v="131"/>
    <s v="Sub-Saharan Africa"/>
    <x v="0"/>
    <s v="DHS, Continuous"/>
    <x v="5"/>
    <x v="0"/>
    <n v="0"/>
    <m/>
    <m/>
    <m/>
    <x v="6"/>
    <x v="0"/>
  </r>
  <r>
    <x v="131"/>
    <s v="Sub-Saharan Africa"/>
    <x v="0"/>
    <s v="DHS, Standard"/>
    <x v="6"/>
    <x v="0"/>
    <n v="0"/>
    <m/>
    <m/>
    <m/>
    <x v="1"/>
    <x v="0"/>
  </r>
  <r>
    <x v="131"/>
    <s v="Sub-Saharan Africa"/>
    <x v="0"/>
    <s v="MIS"/>
    <x v="8"/>
    <x v="0"/>
    <n v="0"/>
    <m/>
    <m/>
    <m/>
    <x v="2"/>
    <x v="0"/>
  </r>
  <r>
    <x v="131"/>
    <s v="Sub-Saharan Africa"/>
    <x v="0"/>
    <s v="DHS, Continuous"/>
    <x v="14"/>
    <x v="0"/>
    <n v="0"/>
    <m/>
    <m/>
    <m/>
    <x v="0"/>
    <x v="0"/>
  </r>
  <r>
    <x v="131"/>
    <s v="Sub-Saharan Africa"/>
    <x v="0"/>
    <s v="MIS"/>
    <x v="18"/>
    <x v="0"/>
    <n v="0"/>
    <m/>
    <m/>
    <m/>
    <x v="3"/>
    <x v="0"/>
  </r>
  <r>
    <x v="131"/>
    <s v="Sub-Saharan Africa"/>
    <x v="1"/>
    <n v="1"/>
    <x v="10"/>
    <x v="0"/>
    <n v="1"/>
    <s v="Zambia"/>
    <m/>
    <n v="1995"/>
    <x v="5"/>
    <x v="0"/>
  </r>
  <r>
    <x v="131"/>
    <s v="Sub-Saharan Africa"/>
    <x v="1"/>
    <n v="2"/>
    <x v="13"/>
    <x v="0"/>
    <n v="0"/>
    <s v=""/>
    <m/>
    <n v="1999"/>
    <x v="7"/>
    <x v="0"/>
  </r>
  <r>
    <x v="132"/>
    <s v="Sub-Saharan Africa"/>
    <x v="0"/>
    <s v="DHS, Standard"/>
    <x v="21"/>
    <x v="0"/>
    <n v="1"/>
    <s v="Zimbabwe"/>
    <m/>
    <m/>
    <x v="6"/>
    <x v="1"/>
  </r>
  <r>
    <x v="132"/>
    <s v="Sub-Saharan Africa"/>
    <x v="0"/>
    <s v="HIV/MCH SPA"/>
    <x v="16"/>
    <x v="0"/>
    <n v="0"/>
    <m/>
    <m/>
    <m/>
    <x v="7"/>
    <x v="0"/>
  </r>
  <r>
    <x v="132"/>
    <s v="Sub-Saharan Africa"/>
    <x v="0"/>
    <s v="DHS, Standard"/>
    <x v="13"/>
    <x v="0"/>
    <n v="0"/>
    <m/>
    <m/>
    <m/>
    <x v="1"/>
    <x v="0"/>
  </r>
  <r>
    <x v="132"/>
    <s v="Sub-Saharan Africa"/>
    <x v="0"/>
    <s v="DHS, Standard"/>
    <x v="8"/>
    <x v="0"/>
    <n v="0"/>
    <m/>
    <m/>
    <m/>
    <x v="2"/>
    <x v="0"/>
  </r>
  <r>
    <x v="132"/>
    <s v="Sub-Saharan Africa"/>
    <x v="0"/>
    <s v="DHS, Standard"/>
    <x v="0"/>
    <x v="0"/>
    <n v="0"/>
    <m/>
    <m/>
    <m/>
    <x v="3"/>
    <x v="0"/>
  </r>
  <r>
    <x v="132"/>
    <s v="Sub-Saharan Africa"/>
    <x v="1"/>
    <n v="3"/>
    <x v="15"/>
    <x v="0"/>
    <n v="1"/>
    <s v="Zimbabwe"/>
    <m/>
    <n v="2009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2">
  <r>
    <s v="Afghanistan"/>
    <x v="0"/>
    <x v="0"/>
    <s v="DHS 1, Standard"/>
    <x v="0"/>
    <n v="1"/>
    <n v="1"/>
    <s v="Afghanistan"/>
    <m/>
    <m/>
    <n v="2"/>
    <n v="0"/>
  </r>
  <r>
    <s v="Afghanistan"/>
    <x v="0"/>
    <x v="1"/>
    <n v="2"/>
    <x v="1"/>
    <n v="1"/>
    <n v="1"/>
    <s v="Afghanistan"/>
    <m/>
    <n v="2000"/>
    <n v="4"/>
    <n v="1"/>
  </r>
  <r>
    <s v="Afghanistan"/>
    <x v="0"/>
    <x v="1"/>
    <n v="2"/>
    <x v="2"/>
    <n v="1"/>
    <n v="0"/>
    <s v=""/>
    <m/>
    <n v="2003"/>
    <n v="3"/>
    <n v="0"/>
  </r>
  <r>
    <s v="Afghanistan"/>
    <x v="0"/>
    <x v="1"/>
    <n v="4"/>
    <x v="3"/>
    <n v="1"/>
    <n v="0"/>
    <s v=""/>
    <m/>
    <n v="2010"/>
    <n v="1"/>
    <n v="0"/>
  </r>
  <r>
    <s v="Albania"/>
    <x v="1"/>
    <x v="0"/>
    <s v="DHS 1, Standard"/>
    <x v="4"/>
    <n v="1"/>
    <n v="1"/>
    <s v="Albania"/>
    <m/>
    <m/>
    <n v="2"/>
    <n v="0"/>
  </r>
  <r>
    <s v="Albania"/>
    <x v="1"/>
    <x v="2"/>
    <s v="Employment and Welfare Survey"/>
    <x v="5"/>
    <n v="1"/>
    <n v="1"/>
    <s v="Albania"/>
    <m/>
    <m/>
    <n v="9"/>
    <n v="1"/>
  </r>
  <r>
    <s v="Albania"/>
    <x v="1"/>
    <x v="2"/>
    <s v="Living Standards Measurement Survey"/>
    <x v="6"/>
    <n v="1"/>
    <n v="0"/>
    <m/>
    <m/>
    <m/>
    <n v="7"/>
    <n v="0"/>
  </r>
  <r>
    <s v="Albania"/>
    <x v="1"/>
    <x v="2"/>
    <s v="Living Standards Measurement Survey Wave 2 Panel"/>
    <x v="2"/>
    <n v="1"/>
    <n v="0"/>
    <m/>
    <m/>
    <m/>
    <n v="6"/>
    <n v="0"/>
  </r>
  <r>
    <s v="Albania"/>
    <x v="1"/>
    <x v="2"/>
    <s v="Living Standards Measurement Survey Wave 3 Panel"/>
    <x v="7"/>
    <n v="1"/>
    <n v="0"/>
    <m/>
    <m/>
    <m/>
    <n v="5"/>
    <n v="0"/>
  </r>
  <r>
    <s v="Albania"/>
    <x v="1"/>
    <x v="2"/>
    <s v="Living Standards Measurement Survey"/>
    <x v="8"/>
    <n v="1"/>
    <n v="0"/>
    <m/>
    <m/>
    <m/>
    <n v="4"/>
    <n v="0"/>
  </r>
  <r>
    <s v="Albania"/>
    <x v="1"/>
    <x v="2"/>
    <s v="Living Standards Measurement Survey"/>
    <x v="4"/>
    <n v="1"/>
    <n v="0"/>
    <m/>
    <m/>
    <m/>
    <n v="10"/>
    <n v="0"/>
  </r>
  <r>
    <s v="Albania"/>
    <x v="1"/>
    <x v="2"/>
    <s v="Living Standards Measurement Survey"/>
    <x v="9"/>
    <n v="1"/>
    <n v="0"/>
    <m/>
    <m/>
    <n v="2012"/>
    <n v="1"/>
    <n v="0"/>
  </r>
  <r>
    <s v="Albania"/>
    <x v="1"/>
    <x v="1"/>
    <n v="2"/>
    <x v="1"/>
    <n v="1"/>
    <n v="1"/>
    <s v="Albania"/>
    <m/>
    <n v="2000"/>
    <n v="8"/>
    <n v="0"/>
  </r>
  <r>
    <s v="Albania"/>
    <x v="1"/>
    <x v="1"/>
    <n v="3"/>
    <x v="8"/>
    <n v="1"/>
    <n v="0"/>
    <s v=""/>
    <m/>
    <n v="2005"/>
    <n v="3"/>
    <n v="0"/>
  </r>
  <r>
    <s v="Algeria"/>
    <x v="2"/>
    <x v="1"/>
    <n v="1"/>
    <x v="10"/>
    <n v="1"/>
    <n v="1"/>
    <s v="Algeria"/>
    <m/>
    <n v="1995"/>
    <n v="4"/>
    <n v="1"/>
  </r>
  <r>
    <s v="Algeria"/>
    <x v="2"/>
    <x v="1"/>
    <n v="2"/>
    <x v="1"/>
    <n v="1"/>
    <n v="0"/>
    <s v=""/>
    <m/>
    <n v="2000"/>
    <n v="3"/>
    <n v="0"/>
  </r>
  <r>
    <s v="Algeria"/>
    <x v="2"/>
    <x v="1"/>
    <n v="3"/>
    <x v="11"/>
    <n v="1"/>
    <n v="0"/>
    <s v=""/>
    <m/>
    <n v="2006"/>
    <n v="1"/>
    <n v="0"/>
  </r>
  <r>
    <s v="Algeria"/>
    <x v="2"/>
    <x v="1"/>
    <n v="4"/>
    <x v="9"/>
    <n v="1"/>
    <n v="0"/>
    <m/>
    <m/>
    <m/>
    <n v="5"/>
    <n v="0"/>
  </r>
  <r>
    <s v="Algeria"/>
    <x v="2"/>
    <x v="3"/>
    <s v="Algerian Family Healths Survey (AFHS)"/>
    <x v="6"/>
    <n v="1"/>
    <n v="1"/>
    <s v="Algeria"/>
    <m/>
    <n v="2002"/>
    <n v="2"/>
    <n v="0"/>
  </r>
  <r>
    <s v="Angola"/>
    <x v="3"/>
    <x v="4"/>
    <s v="Survey of Basic Indicators of Well-Being"/>
    <x v="8"/>
    <n v="1"/>
    <n v="1"/>
    <s v="Angola"/>
    <m/>
    <n v="2005"/>
    <n v="3"/>
    <n v="0"/>
  </r>
  <r>
    <s v="Angola"/>
    <x v="3"/>
    <x v="0"/>
    <s v="DHS 1, Standard"/>
    <x v="11"/>
    <n v="1"/>
    <n v="1"/>
    <s v="Angola"/>
    <m/>
    <m/>
    <n v="2"/>
    <n v="0"/>
  </r>
  <r>
    <s v="Angola"/>
    <x v="3"/>
    <x v="0"/>
    <s v="DHS 1, Experimental"/>
    <x v="3"/>
    <n v="1"/>
    <n v="0"/>
    <m/>
    <m/>
    <m/>
    <n v="1"/>
    <n v="0"/>
  </r>
  <r>
    <s v="Angola"/>
    <x v="3"/>
    <x v="1"/>
    <n v="1"/>
    <x v="5"/>
    <n v="1"/>
    <n v="1"/>
    <s v="Angola"/>
    <m/>
    <n v="1996"/>
    <n v="5"/>
    <n v="1"/>
  </r>
  <r>
    <s v="Angola"/>
    <x v="3"/>
    <x v="1"/>
    <n v="2"/>
    <x v="12"/>
    <n v="1"/>
    <n v="0"/>
    <s v=""/>
    <m/>
    <n v="2001"/>
    <n v="4"/>
    <n v="0"/>
  </r>
  <r>
    <s v="Antigua and Barbuda"/>
    <x v="4"/>
    <x v="2"/>
    <s v="Survey of Living Conditions and Household Budgets"/>
    <x v="11"/>
    <n v="1"/>
    <n v="1"/>
    <s v="Antigua and Barbuda"/>
    <m/>
    <n v="2005"/>
    <n v="1"/>
    <n v="1"/>
  </r>
  <r>
    <s v="Argentina"/>
    <x v="4"/>
    <x v="1"/>
    <n v="4"/>
    <x v="9"/>
    <n v="1"/>
    <n v="1"/>
    <s v="Argentina"/>
    <m/>
    <m/>
    <n v="1"/>
    <n v="1"/>
  </r>
  <r>
    <s v="Armenia"/>
    <x v="1"/>
    <x v="0"/>
    <s v="DHS 1, Standard"/>
    <x v="1"/>
    <n v="1"/>
    <n v="1"/>
    <s v="Armenia"/>
    <m/>
    <m/>
    <n v="12"/>
    <n v="0"/>
  </r>
  <r>
    <s v="Armenia"/>
    <x v="1"/>
    <x v="0"/>
    <s v="DHS 1, Standard"/>
    <x v="8"/>
    <n v="1"/>
    <n v="0"/>
    <m/>
    <m/>
    <m/>
    <n v="2"/>
    <n v="0"/>
  </r>
  <r>
    <s v="Armenia"/>
    <x v="1"/>
    <x v="0"/>
    <s v="DHS 1, Standard"/>
    <x v="0"/>
    <n v="1"/>
    <n v="0"/>
    <m/>
    <s v="Ondo state"/>
    <m/>
    <n v="1"/>
    <n v="0"/>
  </r>
  <r>
    <s v="Armenia"/>
    <x v="1"/>
    <x v="5"/>
    <s v="ILCS"/>
    <x v="13"/>
    <n v="1"/>
    <n v="1"/>
    <s v="Armenia"/>
    <m/>
    <n v="1998"/>
    <n v="13"/>
    <n v="0"/>
  </r>
  <r>
    <s v="Armenia"/>
    <x v="1"/>
    <x v="5"/>
    <s v="ILCS"/>
    <x v="2"/>
    <n v="1"/>
    <n v="0"/>
    <s v=""/>
    <m/>
    <m/>
    <n v="11"/>
    <n v="0"/>
  </r>
  <r>
    <s v="Armenia"/>
    <x v="1"/>
    <x v="5"/>
    <s v="ILCS"/>
    <x v="7"/>
    <n v="1"/>
    <n v="0"/>
    <s v=""/>
    <m/>
    <m/>
    <n v="10"/>
    <n v="0"/>
  </r>
  <r>
    <s v="Armenia"/>
    <x v="1"/>
    <x v="5"/>
    <s v="ILCS"/>
    <x v="8"/>
    <n v="1"/>
    <n v="0"/>
    <s v=""/>
    <m/>
    <m/>
    <n v="9"/>
    <n v="0"/>
  </r>
  <r>
    <s v="Armenia"/>
    <x v="1"/>
    <x v="5"/>
    <s v="ILCS"/>
    <x v="11"/>
    <n v="1"/>
    <n v="0"/>
    <s v=""/>
    <m/>
    <m/>
    <n v="8"/>
    <n v="0"/>
  </r>
  <r>
    <s v="Armenia"/>
    <x v="1"/>
    <x v="5"/>
    <s v="ILCS"/>
    <x v="14"/>
    <n v="1"/>
    <n v="0"/>
    <s v=""/>
    <m/>
    <m/>
    <n v="7"/>
    <n v="0"/>
  </r>
  <r>
    <s v="Armenia"/>
    <x v="1"/>
    <x v="5"/>
    <s v="ILCS"/>
    <x v="4"/>
    <n v="1"/>
    <n v="0"/>
    <s v=""/>
    <m/>
    <m/>
    <n v="6"/>
    <n v="0"/>
  </r>
  <r>
    <s v="Armenia"/>
    <x v="1"/>
    <x v="5"/>
    <s v="ILCS"/>
    <x v="15"/>
    <n v="1"/>
    <n v="0"/>
    <s v=""/>
    <m/>
    <m/>
    <n v="5"/>
    <n v="0"/>
  </r>
  <r>
    <s v="Armenia"/>
    <x v="1"/>
    <x v="5"/>
    <s v="ILCS"/>
    <x v="3"/>
    <n v="1"/>
    <n v="0"/>
    <s v=""/>
    <m/>
    <m/>
    <n v="4"/>
    <n v="0"/>
  </r>
  <r>
    <s v="Armenia"/>
    <x v="1"/>
    <x v="5"/>
    <s v="ILCS"/>
    <x v="9"/>
    <n v="1"/>
    <n v="0"/>
    <s v=""/>
    <m/>
    <m/>
    <n v="3"/>
    <n v="0"/>
  </r>
  <r>
    <s v="Armenia"/>
    <x v="1"/>
    <x v="2"/>
    <s v="Household Budget Survey"/>
    <x v="5"/>
    <n v="1"/>
    <n v="1"/>
    <s v="Armenia"/>
    <m/>
    <m/>
    <n v="14"/>
    <n v="1"/>
  </r>
  <r>
    <s v="Azerbaijan"/>
    <x v="1"/>
    <x v="0"/>
    <s v="DHS 1, Experimental"/>
    <x v="11"/>
    <n v="1"/>
    <n v="1"/>
    <m/>
    <m/>
    <m/>
    <n v="1"/>
    <n v="0"/>
  </r>
  <r>
    <s v="Azerbaijan"/>
    <x v="1"/>
    <x v="2"/>
    <s v="Survey of Living Conditions"/>
    <x v="10"/>
    <n v="1"/>
    <n v="1"/>
    <m/>
    <m/>
    <m/>
    <n v="3"/>
    <n v="1"/>
  </r>
  <r>
    <s v="Azerbaijan"/>
    <x v="1"/>
    <x v="1"/>
    <n v="2"/>
    <x v="1"/>
    <n v="1"/>
    <n v="1"/>
    <s v="Azerbaijan"/>
    <m/>
    <n v="2000"/>
    <n v="2"/>
    <n v="0"/>
  </r>
  <r>
    <s v="Bangladesh"/>
    <x v="0"/>
    <x v="0"/>
    <s v="DHS 1, Standard"/>
    <x v="16"/>
    <n v="1"/>
    <n v="1"/>
    <m/>
    <m/>
    <m/>
    <n v="11"/>
    <n v="1"/>
  </r>
  <r>
    <s v="Bangladesh"/>
    <x v="0"/>
    <x v="0"/>
    <s v="DHS 1, Standard"/>
    <x v="17"/>
    <n v="1"/>
    <n v="0"/>
    <m/>
    <m/>
    <m/>
    <n v="9"/>
    <n v="0"/>
  </r>
  <r>
    <s v="Bangladesh"/>
    <x v="0"/>
    <x v="0"/>
    <s v="DHS 1, Standard"/>
    <x v="13"/>
    <n v="1"/>
    <n v="0"/>
    <m/>
    <m/>
    <m/>
    <n v="8"/>
    <n v="0"/>
  </r>
  <r>
    <s v="Bangladesh"/>
    <x v="0"/>
    <x v="0"/>
    <s v="DHS 1, Standard"/>
    <x v="1"/>
    <n v="1"/>
    <n v="0"/>
    <m/>
    <m/>
    <m/>
    <n v="7"/>
    <n v="0"/>
  </r>
  <r>
    <s v="Bangladesh"/>
    <x v="0"/>
    <x v="0"/>
    <s v="DHS 1, Standard"/>
    <x v="12"/>
    <n v="1"/>
    <n v="0"/>
    <m/>
    <m/>
    <m/>
    <n v="6"/>
    <n v="0"/>
  </r>
  <r>
    <s v="Bangladesh"/>
    <x v="0"/>
    <x v="0"/>
    <s v="DHS 1, Standard"/>
    <x v="7"/>
    <n v="1"/>
    <n v="0"/>
    <m/>
    <m/>
    <m/>
    <n v="5"/>
    <n v="0"/>
  </r>
  <r>
    <s v="Bangladesh"/>
    <x v="0"/>
    <x v="0"/>
    <s v="DHS 1, Standard"/>
    <x v="14"/>
    <n v="1"/>
    <n v="0"/>
    <m/>
    <m/>
    <m/>
    <n v="3"/>
    <n v="0"/>
  </r>
  <r>
    <s v="Bangladesh"/>
    <x v="0"/>
    <x v="0"/>
    <s v="DHS 1, Standard"/>
    <x v="3"/>
    <n v="1"/>
    <n v="0"/>
    <m/>
    <m/>
    <m/>
    <n v="2"/>
    <n v="0"/>
  </r>
  <r>
    <s v="Bangladesh"/>
    <x v="0"/>
    <x v="1"/>
    <n v="1"/>
    <x v="5"/>
    <n v="1"/>
    <n v="1"/>
    <s v="Bangladesh"/>
    <m/>
    <n v="1996"/>
    <n v="10"/>
    <n v="0"/>
  </r>
  <r>
    <s v="Bangladesh"/>
    <x v="0"/>
    <x v="1"/>
    <n v="3"/>
    <x v="11"/>
    <n v="1"/>
    <n v="0"/>
    <s v=""/>
    <m/>
    <n v="2006"/>
    <n v="4"/>
    <n v="0"/>
  </r>
  <r>
    <s v="Bangladesh"/>
    <x v="0"/>
    <x v="1"/>
    <n v="5"/>
    <x v="18"/>
    <n v="1"/>
    <n v="0"/>
    <m/>
    <m/>
    <n v="2012"/>
    <n v="1"/>
    <n v="0"/>
  </r>
  <r>
    <s v="Barbados"/>
    <x v="4"/>
    <x v="1"/>
    <n v="4"/>
    <x v="9"/>
    <n v="1"/>
    <n v="1"/>
    <s v="Barbados"/>
    <m/>
    <n v="2012"/>
    <n v="1"/>
    <n v="1"/>
  </r>
  <r>
    <s v="Belarus"/>
    <x v="5"/>
    <x v="1"/>
    <n v="3"/>
    <x v="8"/>
    <n v="1"/>
    <n v="1"/>
    <s v="Belarus"/>
    <m/>
    <n v="2005"/>
    <n v="2"/>
    <n v="1"/>
  </r>
  <r>
    <s v="Belarus"/>
    <x v="1"/>
    <x v="1"/>
    <n v="4"/>
    <x v="9"/>
    <n v="1"/>
    <n v="0"/>
    <m/>
    <m/>
    <n v="2012"/>
    <n v="1"/>
    <n v="0"/>
  </r>
  <r>
    <s v="Belize"/>
    <x v="4"/>
    <x v="2"/>
    <s v="Living Standard Measurement Survey"/>
    <x v="12"/>
    <n v="1"/>
    <n v="1"/>
    <s v="Belize"/>
    <m/>
    <n v="2001"/>
    <n v="3"/>
    <n v="1"/>
  </r>
  <r>
    <s v="Belize"/>
    <x v="4"/>
    <x v="1"/>
    <n v="3"/>
    <x v="11"/>
    <n v="1"/>
    <n v="1"/>
    <s v="Belize"/>
    <m/>
    <n v="2006"/>
    <n v="2"/>
    <n v="0"/>
  </r>
  <r>
    <s v="Belize"/>
    <x v="4"/>
    <x v="1"/>
    <n v="4"/>
    <x v="3"/>
    <n v="1"/>
    <n v="0"/>
    <s v=""/>
    <m/>
    <n v="2011"/>
    <n v="1"/>
    <n v="0"/>
  </r>
  <r>
    <s v="Benin"/>
    <x v="3"/>
    <x v="4"/>
    <s v="CWIQ"/>
    <x v="2"/>
    <n v="1"/>
    <n v="1"/>
    <s v="Benin"/>
    <m/>
    <n v="2003"/>
    <n v="3"/>
    <n v="0"/>
  </r>
  <r>
    <s v="Benin"/>
    <x v="3"/>
    <x v="0"/>
    <s v="DHS 1, Standard"/>
    <x v="5"/>
    <n v="1"/>
    <n v="1"/>
    <s v="Benin"/>
    <m/>
    <m/>
    <n v="5"/>
    <n v="1"/>
  </r>
  <r>
    <s v="Benin"/>
    <x v="3"/>
    <x v="0"/>
    <s v="DHS 1, In-Depth"/>
    <x v="12"/>
    <n v="1"/>
    <n v="0"/>
    <s v=""/>
    <m/>
    <m/>
    <n v="4"/>
    <n v="0"/>
  </r>
  <r>
    <s v="Benin"/>
    <x v="3"/>
    <x v="0"/>
    <s v="DHS 1, Standard"/>
    <x v="11"/>
    <n v="1"/>
    <n v="0"/>
    <m/>
    <m/>
    <m/>
    <n v="2"/>
    <n v="0"/>
  </r>
  <r>
    <s v="Benin"/>
    <x v="3"/>
    <x v="0"/>
    <s v="DHS 1, Standard"/>
    <x v="9"/>
    <n v="1"/>
    <n v="0"/>
    <m/>
    <m/>
    <m/>
    <n v="1"/>
    <n v="0"/>
  </r>
  <r>
    <s v="Bhutan"/>
    <x v="0"/>
    <x v="2"/>
    <s v="Bhutan Living Standards Survey (BLSS) "/>
    <x v="2"/>
    <n v="1"/>
    <n v="1"/>
    <s v="Bhutan"/>
    <m/>
    <n v="2003"/>
    <n v="4"/>
    <n v="1"/>
  </r>
  <r>
    <s v="Bhutan"/>
    <x v="0"/>
    <x v="2"/>
    <s v="Bhutan Living Standards Survey (BLSS) "/>
    <x v="14"/>
    <n v="1"/>
    <n v="0"/>
    <m/>
    <m/>
    <n v="2007"/>
    <n v="3"/>
    <n v="0"/>
  </r>
  <r>
    <s v="Bhutan"/>
    <x v="0"/>
    <x v="2"/>
    <s v="Bhutan Living Standards Survey (BLSS) "/>
    <x v="9"/>
    <n v="1"/>
    <n v="0"/>
    <s v=""/>
    <m/>
    <n v="2012"/>
    <n v="1"/>
    <n v="0"/>
  </r>
  <r>
    <s v="Bhutan"/>
    <x v="0"/>
    <x v="1"/>
    <n v="4"/>
    <x v="0"/>
    <n v="1"/>
    <n v="1"/>
    <s v="Bhutan"/>
    <m/>
    <n v="2010"/>
    <n v="2"/>
    <n v="0"/>
  </r>
  <r>
    <s v="Bolivia"/>
    <x v="4"/>
    <x v="0"/>
    <s v="DHS 1, Standard"/>
    <x v="19"/>
    <n v="1"/>
    <n v="1"/>
    <s v="Bolivia"/>
    <m/>
    <m/>
    <n v="6"/>
    <n v="1"/>
  </r>
  <r>
    <s v="Bolivia"/>
    <x v="4"/>
    <x v="0"/>
    <s v="DHS 1, Standard"/>
    <x v="16"/>
    <n v="1"/>
    <n v="0"/>
    <m/>
    <m/>
    <m/>
    <n v="5"/>
    <n v="0"/>
  </r>
  <r>
    <s v="Bolivia"/>
    <x v="4"/>
    <x v="0"/>
    <s v="DHS 1, Standard"/>
    <x v="20"/>
    <n v="1"/>
    <n v="0"/>
    <m/>
    <m/>
    <m/>
    <n v="4"/>
    <n v="0"/>
  </r>
  <r>
    <s v="Bolivia"/>
    <x v="4"/>
    <x v="0"/>
    <s v="DHS 1, Standard"/>
    <x v="2"/>
    <n v="1"/>
    <n v="0"/>
    <m/>
    <m/>
    <m/>
    <n v="2"/>
    <n v="0"/>
  </r>
  <r>
    <s v="Bolivia"/>
    <x v="4"/>
    <x v="0"/>
    <s v="DHS 1, Standard"/>
    <x v="4"/>
    <n v="1"/>
    <n v="0"/>
    <m/>
    <m/>
    <m/>
    <n v="1"/>
    <n v="0"/>
  </r>
  <r>
    <s v="Bolivia"/>
    <x v="4"/>
    <x v="1"/>
    <n v="2"/>
    <x v="1"/>
    <n v="1"/>
    <n v="1"/>
    <s v="Bolivia"/>
    <m/>
    <n v="2000"/>
    <n v="3"/>
    <n v="0"/>
  </r>
  <r>
    <s v="Bosnia and Herzegovina"/>
    <x v="1"/>
    <x v="2"/>
    <s v="Living Standards Measurement Survey"/>
    <x v="12"/>
    <n v="1"/>
    <n v="1"/>
    <s v="Bosnia and Herzegovina"/>
    <m/>
    <m/>
    <n v="7"/>
    <n v="0"/>
  </r>
  <r>
    <s v="Bosnia and Herzegovina"/>
    <x v="1"/>
    <x v="2"/>
    <s v="Living in Bosnia and Herzegovina Survey"/>
    <x v="6"/>
    <n v="1"/>
    <n v="0"/>
    <m/>
    <m/>
    <m/>
    <n v="6"/>
    <n v="0"/>
  </r>
  <r>
    <s v="Bosnia and Herzegovina"/>
    <x v="1"/>
    <x v="2"/>
    <s v="Living in Bosnia and Herzegovina Survey"/>
    <x v="2"/>
    <n v="1"/>
    <n v="0"/>
    <m/>
    <m/>
    <m/>
    <n v="5"/>
    <n v="0"/>
  </r>
  <r>
    <s v="Bosnia and Herzegovina"/>
    <x v="1"/>
    <x v="2"/>
    <s v="Living in Bosnia and Herzegovina Survey"/>
    <x v="7"/>
    <n v="1"/>
    <n v="0"/>
    <m/>
    <m/>
    <m/>
    <n v="4"/>
    <n v="0"/>
  </r>
  <r>
    <s v="Bosnia and Herzegovina"/>
    <x v="1"/>
    <x v="1"/>
    <n v="2"/>
    <x v="1"/>
    <n v="1"/>
    <n v="1"/>
    <s v="Bosnia and Herzegovina"/>
    <m/>
    <n v="2000"/>
    <n v="8"/>
    <n v="1"/>
  </r>
  <r>
    <s v="Bosnia and Herzegovina"/>
    <x v="1"/>
    <x v="1"/>
    <n v="3"/>
    <x v="11"/>
    <n v="1"/>
    <n v="0"/>
    <s v=""/>
    <m/>
    <n v="2006"/>
    <n v="3"/>
    <n v="0"/>
  </r>
  <r>
    <s v="Bosnia and Herzegovina"/>
    <x v="1"/>
    <x v="1"/>
    <n v="4"/>
    <x v="9"/>
    <n v="1"/>
    <n v="0"/>
    <s v=""/>
    <m/>
    <n v="2011"/>
    <n v="2"/>
    <n v="0"/>
  </r>
  <r>
    <s v="Bosnia and Herzegovina"/>
    <x v="1"/>
    <x v="1"/>
    <n v="4"/>
    <x v="9"/>
    <n v="1"/>
    <n v="0"/>
    <s v=""/>
    <m/>
    <n v="2011"/>
    <n v="1"/>
    <n v="0"/>
  </r>
  <r>
    <s v="Botswana"/>
    <x v="3"/>
    <x v="4"/>
    <s v="CWIQ Poverty Survey"/>
    <x v="0"/>
    <n v="1"/>
    <n v="1"/>
    <s v="Botswana"/>
    <m/>
    <n v="2009"/>
    <n v="1"/>
    <n v="0"/>
  </r>
  <r>
    <s v="Botswana"/>
    <x v="3"/>
    <x v="0"/>
    <s v="DHS 1, Standard"/>
    <x v="21"/>
    <n v="1"/>
    <n v="1"/>
    <s v="Botswana"/>
    <m/>
    <m/>
    <n v="3"/>
    <n v="1"/>
  </r>
  <r>
    <s v="Botswana"/>
    <x v="3"/>
    <x v="1"/>
    <n v="2"/>
    <x v="1"/>
    <n v="1"/>
    <n v="0"/>
    <s v=""/>
    <m/>
    <n v="2000"/>
    <n v="2"/>
    <n v="0"/>
  </r>
  <r>
    <s v="Brazil"/>
    <x v="4"/>
    <x v="0"/>
    <s v="DHS 1, Standard"/>
    <x v="22"/>
    <n v="1"/>
    <n v="1"/>
    <s v="Brazil"/>
    <m/>
    <m/>
    <n v="4"/>
    <n v="1"/>
  </r>
  <r>
    <s v="Brazil"/>
    <x v="4"/>
    <x v="0"/>
    <s v="DHS 1, Standard"/>
    <x v="23"/>
    <n v="1"/>
    <n v="0"/>
    <m/>
    <m/>
    <m/>
    <n v="3"/>
    <n v="0"/>
  </r>
  <r>
    <s v="Brazil"/>
    <x v="4"/>
    <x v="0"/>
    <s v="DHS 1, Standard"/>
    <x v="5"/>
    <n v="1"/>
    <n v="0"/>
    <m/>
    <m/>
    <m/>
    <n v="2"/>
    <n v="0"/>
  </r>
  <r>
    <s v="Brazil"/>
    <x v="4"/>
    <x v="2"/>
    <s v="Survey of Living Conditions"/>
    <x v="17"/>
    <n v="1"/>
    <n v="1"/>
    <s v="Brazil"/>
    <m/>
    <m/>
    <n v="1"/>
    <n v="0"/>
  </r>
  <r>
    <s v="Bulgaria"/>
    <x v="1"/>
    <x v="2"/>
    <s v="Integrated Household Survey"/>
    <x v="10"/>
    <n v="1"/>
    <n v="1"/>
    <s v="Bulgaria"/>
    <m/>
    <m/>
    <n v="5"/>
    <n v="1"/>
  </r>
  <r>
    <s v="Bulgaria"/>
    <x v="1"/>
    <x v="2"/>
    <s v="Integrated Household Survey"/>
    <x v="12"/>
    <n v="1"/>
    <n v="0"/>
    <m/>
    <m/>
    <m/>
    <n v="3"/>
    <n v="0"/>
  </r>
  <r>
    <s v="Bulgaria"/>
    <x v="1"/>
    <x v="2"/>
    <s v="Multitopic Household Survey"/>
    <x v="2"/>
    <n v="1"/>
    <n v="0"/>
    <m/>
    <m/>
    <m/>
    <n v="2"/>
    <n v="0"/>
  </r>
  <r>
    <s v="Bulgaria"/>
    <x v="1"/>
    <x v="2"/>
    <s v="Multitopic Household Survey"/>
    <x v="14"/>
    <n v="1"/>
    <n v="0"/>
    <m/>
    <m/>
    <m/>
    <n v="1"/>
    <n v="0"/>
  </r>
  <r>
    <s v="Bulgaria"/>
    <x v="1"/>
    <x v="2"/>
    <s v="Integrated Household Survey"/>
    <x v="17"/>
    <n v="1"/>
    <n v="0"/>
    <s v=""/>
    <m/>
    <m/>
    <n v="4"/>
    <n v="0"/>
  </r>
  <r>
    <s v="Burkina Faso"/>
    <x v="3"/>
    <x v="4"/>
    <s v="Survey of Household Living Conditions:CWIQ"/>
    <x v="2"/>
    <n v="1"/>
    <n v="1"/>
    <s v="Burkina Faso"/>
    <m/>
    <m/>
    <n v="6"/>
    <n v="0"/>
  </r>
  <r>
    <s v="Burkina Faso"/>
    <x v="3"/>
    <x v="4"/>
    <s v="Survey of Household Living Conditions:CWIQ"/>
    <x v="8"/>
    <n v="1"/>
    <n v="0"/>
    <s v=""/>
    <m/>
    <m/>
    <n v="5"/>
    <n v="0"/>
  </r>
  <r>
    <s v="Burkina Faso"/>
    <x v="3"/>
    <x v="4"/>
    <s v="Survey of Household Living Conditions:CWIQ"/>
    <x v="14"/>
    <n v="1"/>
    <n v="0"/>
    <m/>
    <m/>
    <m/>
    <n v="3"/>
    <n v="0"/>
  </r>
  <r>
    <s v="Burkina Faso"/>
    <x v="3"/>
    <x v="4"/>
    <s v="Survey of Household Living Conditions:CWIQ"/>
    <x v="0"/>
    <n v="1"/>
    <n v="0"/>
    <m/>
    <m/>
    <n v="2009"/>
    <n v="2"/>
    <n v="0"/>
  </r>
  <r>
    <s v="Burkina Faso"/>
    <x v="3"/>
    <x v="0"/>
    <s v="DHS 1, Standard"/>
    <x v="24"/>
    <n v="1"/>
    <n v="1"/>
    <m/>
    <m/>
    <m/>
    <n v="9"/>
    <n v="1"/>
  </r>
  <r>
    <s v="Burkina Faso"/>
    <x v="3"/>
    <x v="0"/>
    <s v="DHS 2, Standard"/>
    <x v="13"/>
    <n v="1"/>
    <n v="0"/>
    <m/>
    <m/>
    <m/>
    <n v="8"/>
    <n v="0"/>
  </r>
  <r>
    <s v="Burkina Faso"/>
    <x v="3"/>
    <x v="0"/>
    <s v="DHS 2, Standard"/>
    <x v="2"/>
    <n v="1"/>
    <n v="0"/>
    <m/>
    <m/>
    <m/>
    <n v="7"/>
    <n v="0"/>
  </r>
  <r>
    <s v="Burkina Faso"/>
    <x v="3"/>
    <x v="0"/>
    <s v="DHS 2, Standard"/>
    <x v="0"/>
    <n v="1"/>
    <n v="0"/>
    <m/>
    <m/>
    <m/>
    <n v="1"/>
    <n v="0"/>
  </r>
  <r>
    <s v="Burkina Faso"/>
    <x v="3"/>
    <x v="1"/>
    <n v="3"/>
    <x v="11"/>
    <n v="1"/>
    <n v="1"/>
    <s v="Burkina Faso"/>
    <m/>
    <n v="2006"/>
    <n v="4"/>
    <n v="0"/>
  </r>
  <r>
    <s v="Burundi"/>
    <x v="3"/>
    <x v="4"/>
    <s v="CWIQ"/>
    <x v="11"/>
    <n v="1"/>
    <n v="1"/>
    <s v="Burundi"/>
    <m/>
    <n v="2006"/>
    <n v="3"/>
    <n v="0"/>
  </r>
  <r>
    <s v="Burundi"/>
    <x v="3"/>
    <x v="0"/>
    <s v="DHS 2, Standard"/>
    <x v="25"/>
    <n v="1"/>
    <n v="1"/>
    <s v="Burundi"/>
    <m/>
    <m/>
    <n v="6"/>
    <n v="1"/>
  </r>
  <r>
    <s v="Burundi"/>
    <x v="3"/>
    <x v="0"/>
    <s v="DHS 1, Standard"/>
    <x v="0"/>
    <n v="1"/>
    <n v="0"/>
    <m/>
    <m/>
    <m/>
    <n v="2"/>
    <n v="0"/>
  </r>
  <r>
    <s v="Burundi"/>
    <x v="3"/>
    <x v="0"/>
    <s v="DHS 2, Standard"/>
    <x v="9"/>
    <n v="1"/>
    <n v="0"/>
    <m/>
    <m/>
    <m/>
    <n v="1"/>
    <n v="0"/>
  </r>
  <r>
    <s v="Burundi"/>
    <x v="3"/>
    <x v="1"/>
    <n v="2"/>
    <x v="1"/>
    <n v="1"/>
    <n v="1"/>
    <s v="Burundi"/>
    <m/>
    <n v="2000"/>
    <n v="5"/>
    <n v="0"/>
  </r>
  <r>
    <s v="Burundi"/>
    <x v="3"/>
    <x v="1"/>
    <n v="3"/>
    <x v="8"/>
    <n v="1"/>
    <n v="0"/>
    <s v=""/>
    <m/>
    <n v="2005"/>
    <n v="4"/>
    <n v="0"/>
  </r>
  <r>
    <s v="Cambodia"/>
    <x v="6"/>
    <x v="0"/>
    <s v="DHS 2, Standard"/>
    <x v="20"/>
    <n v="1"/>
    <n v="1"/>
    <s v="Cambodia"/>
    <m/>
    <m/>
    <n v="4"/>
    <n v="1"/>
  </r>
  <r>
    <s v="Cambodia"/>
    <x v="6"/>
    <x v="0"/>
    <s v="DHS 2, Standard"/>
    <x v="1"/>
    <n v="1"/>
    <n v="0"/>
    <m/>
    <m/>
    <m/>
    <n v="3"/>
    <n v="0"/>
  </r>
  <r>
    <s v="Cambodia"/>
    <x v="6"/>
    <x v="0"/>
    <s v="DHS 2, Standard"/>
    <x v="8"/>
    <n v="1"/>
    <n v="0"/>
    <m/>
    <m/>
    <m/>
    <n v="2"/>
    <n v="0"/>
  </r>
  <r>
    <s v="Cambodia"/>
    <x v="6"/>
    <x v="0"/>
    <s v="DHS 2, Standard"/>
    <x v="0"/>
    <n v="1"/>
    <n v="0"/>
    <m/>
    <m/>
    <m/>
    <n v="1"/>
    <n v="0"/>
  </r>
  <r>
    <s v="Cameroon"/>
    <x v="3"/>
    <x v="0"/>
    <s v="DHS 2, Standard"/>
    <x v="23"/>
    <n v="1"/>
    <n v="1"/>
    <s v="Cameroon"/>
    <m/>
    <m/>
    <n v="6"/>
    <n v="1"/>
  </r>
  <r>
    <s v="Cameroon"/>
    <x v="3"/>
    <x v="0"/>
    <s v="DHS 2, Standard"/>
    <x v="20"/>
    <n v="1"/>
    <n v="0"/>
    <m/>
    <m/>
    <m/>
    <n v="5"/>
    <n v="0"/>
  </r>
  <r>
    <s v="Cameroon"/>
    <x v="3"/>
    <x v="0"/>
    <s v="DHS Other, Standard"/>
    <x v="7"/>
    <n v="1"/>
    <n v="0"/>
    <m/>
    <m/>
    <m/>
    <n v="3"/>
    <n v="0"/>
  </r>
  <r>
    <s v="Cameroon"/>
    <x v="3"/>
    <x v="0"/>
    <s v="DHS 2, Standard"/>
    <x v="3"/>
    <n v="1"/>
    <n v="0"/>
    <m/>
    <m/>
    <m/>
    <n v="1"/>
    <n v="0"/>
  </r>
  <r>
    <s v="Cameroon"/>
    <x v="3"/>
    <x v="1"/>
    <n v="2"/>
    <x v="1"/>
    <n v="1"/>
    <n v="1"/>
    <s v="Cameroon"/>
    <m/>
    <n v="2000"/>
    <n v="4"/>
    <n v="0"/>
  </r>
  <r>
    <s v="Cameroon"/>
    <x v="3"/>
    <x v="1"/>
    <n v="3"/>
    <x v="11"/>
    <n v="1"/>
    <n v="0"/>
    <s v=""/>
    <m/>
    <n v="2006"/>
    <n v="2"/>
    <n v="0"/>
  </r>
  <r>
    <s v="Cape Verde"/>
    <x v="3"/>
    <x v="4"/>
    <s v="CWIQ"/>
    <x v="11"/>
    <n v="1"/>
    <n v="1"/>
    <s v="Cape Verde"/>
    <m/>
    <n v="2006"/>
    <n v="2"/>
    <n v="0"/>
  </r>
  <r>
    <s v="Cape Verde"/>
    <x v="3"/>
    <x v="4"/>
    <s v="CWIQ"/>
    <x v="14"/>
    <n v="1"/>
    <n v="0"/>
    <m/>
    <m/>
    <n v="2007"/>
    <n v="1"/>
    <n v="0"/>
  </r>
  <r>
    <s v="Cape Verde"/>
    <x v="3"/>
    <x v="0"/>
    <s v="DHS 2, Standard"/>
    <x v="8"/>
    <n v="1"/>
    <n v="1"/>
    <s v="Cape Verde"/>
    <m/>
    <m/>
    <n v="3"/>
    <n v="1"/>
  </r>
  <r>
    <s v="Central African Republic"/>
    <x v="3"/>
    <x v="0"/>
    <s v="DHS 2, Standard"/>
    <x v="16"/>
    <n v="1"/>
    <n v="1"/>
    <s v="Central African Republic"/>
    <m/>
    <m/>
    <n v="4"/>
    <n v="1"/>
  </r>
  <r>
    <s v="Central African Republic"/>
    <x v="3"/>
    <x v="1"/>
    <n v="2"/>
    <x v="1"/>
    <n v="1"/>
    <n v="1"/>
    <s v="Central African Republic"/>
    <m/>
    <n v="2000"/>
    <n v="3"/>
    <n v="0"/>
  </r>
  <r>
    <s v="Central African Republic"/>
    <x v="3"/>
    <x v="1"/>
    <n v="3"/>
    <x v="11"/>
    <n v="1"/>
    <n v="0"/>
    <s v=""/>
    <m/>
    <n v="2006"/>
    <n v="2"/>
    <n v="0"/>
  </r>
  <r>
    <s v="Central African Republic"/>
    <x v="3"/>
    <x v="1"/>
    <n v="4"/>
    <x v="0"/>
    <n v="1"/>
    <n v="0"/>
    <s v=""/>
    <m/>
    <n v="2010"/>
    <n v="1"/>
    <n v="0"/>
  </r>
  <r>
    <s v="Chad"/>
    <x v="3"/>
    <x v="0"/>
    <s v="DHS 2, Standard"/>
    <x v="17"/>
    <n v="1"/>
    <n v="1"/>
    <s v="Chad"/>
    <m/>
    <m/>
    <n v="4"/>
    <n v="1"/>
  </r>
  <r>
    <s v="Chad"/>
    <x v="3"/>
    <x v="0"/>
    <s v="DHS 2, Standard"/>
    <x v="7"/>
    <n v="1"/>
    <n v="0"/>
    <m/>
    <m/>
    <m/>
    <n v="2"/>
    <n v="0"/>
  </r>
  <r>
    <s v="Chad"/>
    <x v="3"/>
    <x v="1"/>
    <n v="2"/>
    <x v="1"/>
    <n v="1"/>
    <n v="1"/>
    <s v="Chad"/>
    <m/>
    <n v="2000"/>
    <n v="3"/>
    <n v="0"/>
  </r>
  <r>
    <s v="Chad"/>
    <x v="3"/>
    <x v="1"/>
    <n v="4"/>
    <x v="0"/>
    <n v="1"/>
    <n v="0"/>
    <s v=""/>
    <m/>
    <n v="2010"/>
    <n v="1"/>
    <n v="0"/>
  </r>
  <r>
    <s v="China"/>
    <x v="6"/>
    <x v="2"/>
    <s v="Heibei and Liaoning Living Standards Survey"/>
    <x v="10"/>
    <n v="1"/>
    <n v="1"/>
    <s v="China"/>
    <s v="WHS available"/>
    <m/>
    <n v="1"/>
    <n v="1"/>
  </r>
  <r>
    <s v="Colombia"/>
    <x v="4"/>
    <x v="0"/>
    <s v="DHS 2, Standard"/>
    <x v="22"/>
    <n v="1"/>
    <n v="1"/>
    <s v="Colombia"/>
    <m/>
    <m/>
    <n v="6"/>
    <n v="1"/>
  </r>
  <r>
    <s v="Colombia"/>
    <x v="4"/>
    <x v="0"/>
    <s v="DHS 2, Standard"/>
    <x v="26"/>
    <n v="1"/>
    <n v="0"/>
    <m/>
    <m/>
    <m/>
    <n v="5"/>
    <n v="0"/>
  </r>
  <r>
    <s v="Colombia"/>
    <x v="4"/>
    <x v="0"/>
    <s v="DHS 2, Standard"/>
    <x v="10"/>
    <n v="1"/>
    <n v="0"/>
    <m/>
    <m/>
    <m/>
    <n v="4"/>
    <n v="0"/>
  </r>
  <r>
    <s v="Colombia"/>
    <x v="4"/>
    <x v="0"/>
    <s v="DHS 2, Standard"/>
    <x v="1"/>
    <n v="1"/>
    <n v="0"/>
    <m/>
    <m/>
    <m/>
    <n v="3"/>
    <n v="0"/>
  </r>
  <r>
    <s v="Colombia"/>
    <x v="4"/>
    <x v="0"/>
    <s v="DHS 2, Standard"/>
    <x v="8"/>
    <n v="1"/>
    <n v="0"/>
    <m/>
    <m/>
    <m/>
    <n v="2"/>
    <n v="0"/>
  </r>
  <r>
    <s v="Colombia"/>
    <x v="4"/>
    <x v="0"/>
    <s v="DHS 3, Standard"/>
    <x v="0"/>
    <n v="1"/>
    <n v="0"/>
    <m/>
    <m/>
    <m/>
    <n v="1"/>
    <n v="0"/>
  </r>
  <r>
    <s v="Comoros"/>
    <x v="3"/>
    <x v="0"/>
    <s v="DHS 2, Standard"/>
    <x v="5"/>
    <n v="1"/>
    <n v="1"/>
    <s v="Comoros"/>
    <m/>
    <m/>
    <n v="3"/>
    <n v="1"/>
  </r>
  <r>
    <s v="Comoros"/>
    <x v="3"/>
    <x v="0"/>
    <s v="DHS 3, Standard"/>
    <x v="9"/>
    <n v="1"/>
    <n v="0"/>
    <m/>
    <m/>
    <m/>
    <n v="1"/>
    <n v="0"/>
  </r>
  <r>
    <s v="Comoros"/>
    <x v="3"/>
    <x v="1"/>
    <n v="2"/>
    <x v="1"/>
    <n v="1"/>
    <n v="1"/>
    <s v="Comoros"/>
    <m/>
    <n v="2000"/>
    <n v="2"/>
    <n v="0"/>
  </r>
  <r>
    <s v="Congo Brazzaville"/>
    <x v="3"/>
    <x v="0"/>
    <s v="DHS 3, In depth"/>
    <x v="8"/>
    <n v="1"/>
    <n v="1"/>
    <s v="Congo Brazzaville"/>
    <m/>
    <m/>
    <n v="4"/>
    <n v="1"/>
  </r>
  <r>
    <s v="Congo Brazzaville"/>
    <x v="3"/>
    <x v="0"/>
    <s v="DHS 3, Standard"/>
    <x v="15"/>
    <n v="1"/>
    <n v="1"/>
    <s v="Congo Brazzaville"/>
    <m/>
    <m/>
    <n v="3"/>
    <n v="0"/>
  </r>
  <r>
    <s v="Congo Brazzaville"/>
    <x v="3"/>
    <x v="0"/>
    <s v="DHS 3, Standard"/>
    <x v="3"/>
    <n v="1"/>
    <n v="0"/>
    <m/>
    <m/>
    <m/>
    <n v="2"/>
    <n v="0"/>
  </r>
  <r>
    <s v="Congo Brazzaville"/>
    <x v="3"/>
    <x v="0"/>
    <s v="DHS 2, Standard"/>
    <x v="18"/>
    <n v="1"/>
    <n v="0"/>
    <m/>
    <m/>
    <m/>
    <n v="1"/>
    <n v="0"/>
  </r>
  <r>
    <s v="Congo, Democratic Republic of the"/>
    <x v="3"/>
    <x v="4"/>
    <s v="Household Survey for Poverty Assessment:CWIQ"/>
    <x v="8"/>
    <n v="1"/>
    <n v="1"/>
    <s v="Congo, Democratic Republic of the"/>
    <m/>
    <n v="2005"/>
    <n v="3"/>
    <n v="0"/>
  </r>
  <r>
    <s v="Congo, Democratic Republic of the"/>
    <x v="3"/>
    <x v="0"/>
    <s v="DHS 5, Standard"/>
    <x v="14"/>
    <n v="1"/>
    <n v="1"/>
    <s v="Congo, Democratic Republic of the"/>
    <m/>
    <n v="2007"/>
    <n v="2"/>
    <n v="0"/>
  </r>
  <r>
    <s v="Congo, Democratic Republic of the"/>
    <x v="7"/>
    <x v="1"/>
    <n v="1"/>
    <x v="10"/>
    <n v="1"/>
    <n v="1"/>
    <s v="Congo, Democratic Republic of the"/>
    <m/>
    <m/>
    <n v="5"/>
    <n v="1"/>
  </r>
  <r>
    <s v="Congo, Democratic Republic of the"/>
    <x v="3"/>
    <x v="1"/>
    <n v="2"/>
    <x v="12"/>
    <n v="1"/>
    <n v="0"/>
    <s v=""/>
    <m/>
    <n v="2001"/>
    <n v="4"/>
    <n v="0"/>
  </r>
  <r>
    <s v="Congo, Democratic Republic of the"/>
    <x v="3"/>
    <x v="1"/>
    <n v="4"/>
    <x v="0"/>
    <n v="1"/>
    <n v="0"/>
    <s v=""/>
    <m/>
    <n v="2010"/>
    <n v="1"/>
    <n v="0"/>
  </r>
  <r>
    <s v="Costa Rica"/>
    <x v="4"/>
    <x v="1"/>
    <n v="4"/>
    <x v="3"/>
    <n v="1"/>
    <n v="1"/>
    <s v="Costa Rica"/>
    <m/>
    <n v="2011"/>
    <n v="1"/>
    <n v="1"/>
  </r>
  <r>
    <s v="Côte d’Ivoire"/>
    <x v="3"/>
    <x v="0"/>
    <s v="DHS 3, Standard"/>
    <x v="16"/>
    <n v="1"/>
    <n v="1"/>
    <s v="Côte d’Ivoire"/>
    <m/>
    <m/>
    <n v="6"/>
    <n v="0"/>
  </r>
  <r>
    <s v="Côte d’Ivoire"/>
    <x v="3"/>
    <x v="0"/>
    <s v="DHS 3, Standard"/>
    <x v="20"/>
    <n v="1"/>
    <n v="0"/>
    <m/>
    <m/>
    <m/>
    <n v="5"/>
    <n v="0"/>
  </r>
  <r>
    <s v="Côte d’Ivoire"/>
    <x v="3"/>
    <x v="0"/>
    <s v="DHS 5, Standard"/>
    <x v="8"/>
    <n v="1"/>
    <n v="0"/>
    <m/>
    <m/>
    <m/>
    <n v="3"/>
    <n v="0"/>
  </r>
  <r>
    <s v="Côte d’Ivoire"/>
    <x v="3"/>
    <x v="0"/>
    <s v="DHS 6, Standard"/>
    <x v="9"/>
    <n v="1"/>
    <n v="0"/>
    <m/>
    <m/>
    <m/>
    <n v="1"/>
    <n v="0"/>
  </r>
  <r>
    <s v="Côte d’Ivoire"/>
    <x v="3"/>
    <x v="2"/>
    <s v="Enquête Permanente Auprès des Ménages"/>
    <x v="27"/>
    <n v="1"/>
    <n v="1"/>
    <s v="Côte d’Ivoire"/>
    <m/>
    <m/>
    <n v="10"/>
    <n v="1"/>
  </r>
  <r>
    <s v="Côte d’Ivoire"/>
    <x v="3"/>
    <x v="2"/>
    <s v="Enquête Permanente Auprès des Ménages"/>
    <x v="22"/>
    <n v="1"/>
    <n v="0"/>
    <m/>
    <m/>
    <m/>
    <n v="9"/>
    <n v="0"/>
  </r>
  <r>
    <s v="Côte d’Ivoire"/>
    <x v="3"/>
    <x v="2"/>
    <s v="Enquête Permanente Auprès des Ménages"/>
    <x v="25"/>
    <n v="1"/>
    <n v="0"/>
    <m/>
    <m/>
    <m/>
    <n v="8"/>
    <n v="0"/>
  </r>
  <r>
    <s v="Côte d’Ivoire"/>
    <x v="3"/>
    <x v="2"/>
    <s v="Enquête Permanente Auprès des Ménages"/>
    <x v="21"/>
    <n v="1"/>
    <n v="0"/>
    <m/>
    <m/>
    <m/>
    <n v="7"/>
    <n v="0"/>
  </r>
  <r>
    <s v="Côte d’Ivoire"/>
    <x v="3"/>
    <x v="1"/>
    <n v="2"/>
    <x v="1"/>
    <n v="1"/>
    <n v="1"/>
    <s v="Côte d’Ivoire"/>
    <m/>
    <n v="2000"/>
    <n v="4"/>
    <n v="0"/>
  </r>
  <r>
    <s v="Côte d’Ivoire"/>
    <x v="3"/>
    <x v="1"/>
    <n v="3"/>
    <x v="11"/>
    <n v="1"/>
    <n v="0"/>
    <s v=""/>
    <m/>
    <n v="2006"/>
    <n v="2"/>
    <n v="0"/>
  </r>
  <r>
    <s v="Cuba"/>
    <x v="4"/>
    <x v="1"/>
    <n v="2"/>
    <x v="1"/>
    <n v="1"/>
    <n v="1"/>
    <s v="Cuba"/>
    <m/>
    <n v="2000"/>
    <n v="3"/>
    <n v="1"/>
  </r>
  <r>
    <s v="Cuba"/>
    <x v="4"/>
    <x v="1"/>
    <n v="3"/>
    <x v="11"/>
    <n v="1"/>
    <n v="0"/>
    <s v=""/>
    <m/>
    <n v="2006"/>
    <n v="2"/>
    <n v="0"/>
  </r>
  <r>
    <s v="Cuba"/>
    <x v="4"/>
    <x v="1"/>
    <n v="4"/>
    <x v="3"/>
    <n v="1"/>
    <n v="0"/>
    <s v=""/>
    <m/>
    <n v="2010"/>
    <n v="1"/>
    <n v="0"/>
  </r>
  <r>
    <s v="Djibouti"/>
    <x v="3"/>
    <x v="1"/>
    <n v="3"/>
    <x v="11"/>
    <n v="1"/>
    <n v="1"/>
    <s v="Djibouti"/>
    <m/>
    <n v="2006"/>
    <n v="1"/>
    <n v="0"/>
  </r>
  <r>
    <s v="Djibouti"/>
    <x v="3"/>
    <x v="3"/>
    <s v="Djibouti Family Health Survey (DFHS)"/>
    <x v="6"/>
    <n v="1"/>
    <n v="1"/>
    <s v="Djibouti"/>
    <m/>
    <n v="2002"/>
    <n v="2"/>
    <n v="1"/>
  </r>
  <r>
    <s v="Dominican Rep "/>
    <x v="4"/>
    <x v="0"/>
    <s v="DHS 3, Standard"/>
    <x v="22"/>
    <n v="1"/>
    <n v="1"/>
    <s v="Dominican Rep "/>
    <m/>
    <m/>
    <n v="10"/>
    <n v="1"/>
  </r>
  <r>
    <s v="Dominican Rep "/>
    <x v="4"/>
    <x v="0"/>
    <s v="DHS 3, KAP"/>
    <x v="22"/>
    <n v="1"/>
    <n v="0"/>
    <m/>
    <m/>
    <m/>
    <n v="9"/>
    <n v="0"/>
  </r>
  <r>
    <s v="Dominican Rep "/>
    <x v="4"/>
    <x v="0"/>
    <s v="DHS 3, Standard"/>
    <x v="23"/>
    <n v="1"/>
    <n v="0"/>
    <m/>
    <m/>
    <m/>
    <n v="8"/>
    <n v="0"/>
  </r>
  <r>
    <s v="Dominican Rep "/>
    <x v="4"/>
    <x v="0"/>
    <s v="DHS 3, Standard"/>
    <x v="5"/>
    <n v="1"/>
    <n v="0"/>
    <m/>
    <m/>
    <m/>
    <n v="7"/>
    <n v="0"/>
  </r>
  <r>
    <s v="Dominican Rep "/>
    <x v="4"/>
    <x v="0"/>
    <s v="DHS 3, Standard"/>
    <x v="13"/>
    <n v="1"/>
    <n v="0"/>
    <m/>
    <m/>
    <m/>
    <n v="6"/>
    <n v="0"/>
  </r>
  <r>
    <s v="Dominican Rep "/>
    <x v="4"/>
    <x v="0"/>
    <s v="DHS 3, Standard"/>
    <x v="6"/>
    <n v="1"/>
    <n v="0"/>
    <m/>
    <m/>
    <m/>
    <n v="4"/>
    <n v="0"/>
  </r>
  <r>
    <s v="Dominican Rep "/>
    <x v="4"/>
    <x v="0"/>
    <s v="DHS 5, Standard"/>
    <x v="14"/>
    <n v="1"/>
    <n v="0"/>
    <m/>
    <m/>
    <m/>
    <n v="3"/>
    <n v="0"/>
  </r>
  <r>
    <s v="Dominican Rep "/>
    <x v="4"/>
    <x v="0"/>
    <s v="DHS 5, Special"/>
    <x v="14"/>
    <n v="1"/>
    <n v="0"/>
    <m/>
    <m/>
    <m/>
    <n v="2"/>
    <n v="0"/>
  </r>
  <r>
    <s v="Dominican Rep "/>
    <x v="4"/>
    <x v="0"/>
    <s v="DHS 6"/>
    <x v="18"/>
    <n v="1"/>
    <n v="0"/>
    <m/>
    <m/>
    <m/>
    <n v="1"/>
    <n v="0"/>
  </r>
  <r>
    <s v="Dominican Rep "/>
    <x v="4"/>
    <x v="1"/>
    <n v="2"/>
    <x v="1"/>
    <n v="1"/>
    <n v="1"/>
    <s v="Dominican Rep "/>
    <m/>
    <n v="2000"/>
    <n v="5"/>
    <n v="0"/>
  </r>
  <r>
    <s v="Ecuador"/>
    <x v="4"/>
    <x v="0"/>
    <s v="DHS 3, In depth"/>
    <x v="25"/>
    <n v="1"/>
    <n v="1"/>
    <s v="Ecuador"/>
    <m/>
    <m/>
    <n v="4"/>
    <n v="1"/>
  </r>
  <r>
    <s v="Ecuador"/>
    <x v="4"/>
    <x v="2"/>
    <s v="Encuesta Condiciones de Vida"/>
    <x v="16"/>
    <n v="1"/>
    <n v="0"/>
    <s v=""/>
    <m/>
    <m/>
    <n v="3"/>
    <n v="0"/>
  </r>
  <r>
    <s v="Ecuador"/>
    <x v="4"/>
    <x v="2"/>
    <s v="Encuesta Condiciones de Vida"/>
    <x v="10"/>
    <n v="1"/>
    <n v="0"/>
    <m/>
    <m/>
    <m/>
    <n v="2"/>
    <n v="0"/>
  </r>
  <r>
    <s v="Ecuador"/>
    <x v="4"/>
    <x v="2"/>
    <s v="Encuesta Condiciones de Vida"/>
    <x v="20"/>
    <n v="1"/>
    <n v="0"/>
    <m/>
    <m/>
    <m/>
    <n v="1"/>
    <n v="0"/>
  </r>
  <r>
    <s v="Egypt"/>
    <x v="2"/>
    <x v="0"/>
    <s v="DHS 3, Standard"/>
    <x v="21"/>
    <n v="1"/>
    <n v="1"/>
    <s v="Egypt"/>
    <m/>
    <m/>
    <n v="14"/>
    <n v="1"/>
  </r>
  <r>
    <s v="Egypt"/>
    <x v="2"/>
    <x v="0"/>
    <s v="DHS 3, In depth"/>
    <x v="28"/>
    <n v="1"/>
    <n v="0"/>
    <m/>
    <m/>
    <m/>
    <n v="13"/>
    <n v="0"/>
  </r>
  <r>
    <s v="Egypt"/>
    <x v="2"/>
    <x v="0"/>
    <s v="DHS 3, Standard"/>
    <x v="10"/>
    <n v="1"/>
    <n v="0"/>
    <m/>
    <m/>
    <m/>
    <n v="12"/>
    <n v="0"/>
  </r>
  <r>
    <s v="Egypt"/>
    <x v="2"/>
    <x v="0"/>
    <s v="DHS 3, Standard"/>
    <x v="17"/>
    <n v="1"/>
    <n v="0"/>
    <m/>
    <m/>
    <m/>
    <n v="10"/>
    <n v="0"/>
  </r>
  <r>
    <s v="Egypt"/>
    <x v="2"/>
    <x v="0"/>
    <s v="DHS 3, Standard"/>
    <x v="17"/>
    <n v="1"/>
    <n v="0"/>
    <m/>
    <m/>
    <m/>
    <n v="9"/>
    <n v="0"/>
  </r>
  <r>
    <s v="Egypt"/>
    <x v="2"/>
    <x v="0"/>
    <s v="DHS 3, Standard"/>
    <x v="20"/>
    <n v="1"/>
    <n v="0"/>
    <m/>
    <m/>
    <m/>
    <n v="8"/>
    <n v="0"/>
  </r>
  <r>
    <s v="Egypt"/>
    <x v="2"/>
    <x v="0"/>
    <s v="DHS 3, KAP"/>
    <x v="1"/>
    <n v="1"/>
    <n v="0"/>
    <m/>
    <m/>
    <m/>
    <n v="7"/>
    <n v="0"/>
  </r>
  <r>
    <s v="Egypt"/>
    <x v="2"/>
    <x v="0"/>
    <s v="DHS 3, Standard"/>
    <x v="6"/>
    <n v="1"/>
    <n v="0"/>
    <m/>
    <m/>
    <m/>
    <n v="6"/>
    <n v="0"/>
  </r>
  <r>
    <s v="Egypt"/>
    <x v="2"/>
    <x v="0"/>
    <s v="DHS 3, Standard"/>
    <x v="2"/>
    <n v="1"/>
    <n v="0"/>
    <m/>
    <m/>
    <m/>
    <n v="5"/>
    <n v="0"/>
  </r>
  <r>
    <s v="Egypt"/>
    <x v="2"/>
    <x v="0"/>
    <s v="DHS 3, Standard"/>
    <x v="7"/>
    <n v="1"/>
    <n v="0"/>
    <m/>
    <m/>
    <m/>
    <n v="4"/>
    <n v="0"/>
  </r>
  <r>
    <s v="Egypt"/>
    <x v="2"/>
    <x v="0"/>
    <s v="DHS 3, Standard"/>
    <x v="8"/>
    <n v="1"/>
    <n v="0"/>
    <m/>
    <m/>
    <m/>
    <n v="3"/>
    <n v="0"/>
  </r>
  <r>
    <s v="Egypt"/>
    <x v="2"/>
    <x v="0"/>
    <s v="DHS 3, Standard"/>
    <x v="4"/>
    <n v="1"/>
    <n v="0"/>
    <m/>
    <m/>
    <m/>
    <n v="2"/>
    <n v="0"/>
  </r>
  <r>
    <s v="Egypt"/>
    <x v="2"/>
    <x v="1"/>
    <n v="1"/>
    <x v="5"/>
    <n v="1"/>
    <n v="1"/>
    <s v="Egypt"/>
    <m/>
    <n v="1996"/>
    <n v="11"/>
    <n v="0"/>
  </r>
  <r>
    <s v="Egypt"/>
    <x v="2"/>
    <x v="1"/>
    <n v="5"/>
    <x v="29"/>
    <n v="1"/>
    <n v="0"/>
    <m/>
    <m/>
    <n v="2013"/>
    <n v="1"/>
    <n v="0"/>
  </r>
  <r>
    <s v="El Salvador"/>
    <x v="4"/>
    <x v="0"/>
    <s v="DHS 3, Standard"/>
    <x v="27"/>
    <n v="1"/>
    <n v="1"/>
    <s v="El Salvador"/>
    <m/>
    <m/>
    <n v="1"/>
    <n v="1"/>
  </r>
  <r>
    <s v="Equatorial Guinea"/>
    <x v="3"/>
    <x v="0"/>
    <s v="DHS 3, Standard"/>
    <x v="3"/>
    <n v="1"/>
    <n v="1"/>
    <s v="Equatorial Guinea"/>
    <m/>
    <m/>
    <n v="1"/>
    <n v="0"/>
  </r>
  <r>
    <s v="Equatorial Guinea"/>
    <x v="3"/>
    <x v="1"/>
    <n v="2"/>
    <x v="1"/>
    <n v="1"/>
    <n v="1"/>
    <s v="Equatorial Guinea"/>
    <m/>
    <n v="2000"/>
    <n v="2"/>
    <n v="1"/>
  </r>
  <r>
    <s v="Eritrea"/>
    <x v="3"/>
    <x v="0"/>
    <s v="DHS 3, Standard"/>
    <x v="10"/>
    <n v="1"/>
    <n v="1"/>
    <s v="Eritrea"/>
    <m/>
    <m/>
    <n v="2"/>
    <n v="1"/>
  </r>
  <r>
    <s v="Eritrea"/>
    <x v="3"/>
    <x v="0"/>
    <s v="DHS 3, Interim"/>
    <x v="6"/>
    <n v="1"/>
    <n v="0"/>
    <m/>
    <m/>
    <m/>
    <n v="1"/>
    <n v="0"/>
  </r>
  <r>
    <s v="Ethiopia"/>
    <x v="3"/>
    <x v="0"/>
    <s v="In Depth"/>
    <x v="1"/>
    <n v="1"/>
    <n v="1"/>
    <s v="Ethiopia"/>
    <m/>
    <m/>
    <n v="4"/>
    <n v="1"/>
  </r>
  <r>
    <s v="Ethiopia"/>
    <x v="3"/>
    <x v="0"/>
    <s v="DHS 3, In depth"/>
    <x v="8"/>
    <n v="1"/>
    <n v="0"/>
    <m/>
    <m/>
    <m/>
    <n v="3"/>
    <n v="0"/>
  </r>
  <r>
    <s v="Ethiopia"/>
    <x v="3"/>
    <x v="0"/>
    <s v="DHS 3, MCH SPA"/>
    <x v="3"/>
    <n v="1"/>
    <n v="0"/>
    <m/>
    <m/>
    <m/>
    <n v="2"/>
    <n v="0"/>
  </r>
  <r>
    <s v="Ethiopia"/>
    <x v="3"/>
    <x v="2"/>
    <s v="Rural Socioeconomic Survey"/>
    <x v="3"/>
    <n v="1"/>
    <n v="1"/>
    <s v="Ethiopia"/>
    <m/>
    <m/>
    <n v="1"/>
    <n v="0"/>
  </r>
  <r>
    <s v="Gabon"/>
    <x v="3"/>
    <x v="4"/>
    <s v="Enquête Gabonaise pour l'Evaluation et le Suivi de la Pauvreté: CWIQ"/>
    <x v="8"/>
    <n v="1"/>
    <n v="1"/>
    <s v="Gabon"/>
    <m/>
    <m/>
    <n v="1"/>
    <n v="0"/>
  </r>
  <r>
    <s v="Gabon"/>
    <x v="3"/>
    <x v="0"/>
    <s v="DHS 3, Standard"/>
    <x v="1"/>
    <n v="1"/>
    <n v="1"/>
    <s v="Gabon"/>
    <m/>
    <m/>
    <n v="3"/>
    <n v="1"/>
  </r>
  <r>
    <s v="Gabon"/>
    <x v="3"/>
    <x v="0"/>
    <s v="DHS 3, Standard"/>
    <x v="9"/>
    <n v="1"/>
    <n v="0"/>
    <m/>
    <m/>
    <m/>
    <n v="2"/>
    <n v="0"/>
  </r>
  <r>
    <s v="Gambia"/>
    <x v="3"/>
    <x v="0"/>
    <s v="DHS 3, Standard"/>
    <x v="9"/>
    <n v="1"/>
    <n v="1"/>
    <s v="Gambia"/>
    <m/>
    <m/>
    <n v="1"/>
    <n v="0"/>
  </r>
  <r>
    <s v="Gambia"/>
    <x v="3"/>
    <x v="5"/>
    <s v="ILCS"/>
    <x v="7"/>
    <n v="1"/>
    <n v="1"/>
    <s v="Gambia"/>
    <m/>
    <n v="2003"/>
    <n v="5"/>
    <n v="0"/>
  </r>
  <r>
    <s v="Gambia"/>
    <x v="3"/>
    <x v="5"/>
    <s v="ILCS"/>
    <x v="0"/>
    <n v="1"/>
    <n v="0"/>
    <m/>
    <m/>
    <n v="2010"/>
    <n v="4"/>
    <n v="0"/>
  </r>
  <r>
    <s v="Gambia"/>
    <x v="3"/>
    <x v="1"/>
    <n v="2"/>
    <x v="1"/>
    <n v="1"/>
    <n v="1"/>
    <s v="Gambia"/>
    <m/>
    <n v="2000"/>
    <n v="6"/>
    <n v="1"/>
  </r>
  <r>
    <s v="Gambia"/>
    <x v="3"/>
    <x v="1"/>
    <n v="3"/>
    <x v="11"/>
    <n v="1"/>
    <n v="0"/>
    <s v=""/>
    <m/>
    <n v="2005"/>
    <n v="3"/>
    <n v="0"/>
  </r>
  <r>
    <s v="Gambia"/>
    <x v="3"/>
    <x v="1"/>
    <n v="4"/>
    <x v="0"/>
    <n v="1"/>
    <n v="0"/>
    <s v=""/>
    <m/>
    <n v="2010"/>
    <n v="2"/>
    <n v="0"/>
  </r>
  <r>
    <s v="Georgia"/>
    <x v="1"/>
    <x v="1"/>
    <n v="2"/>
    <x v="13"/>
    <n v="1"/>
    <n v="1"/>
    <s v="Georgia"/>
    <m/>
    <n v="1999"/>
    <n v="2"/>
    <n v="1"/>
  </r>
  <r>
    <s v="Georgia"/>
    <x v="1"/>
    <x v="1"/>
    <n v="3"/>
    <x v="8"/>
    <n v="1"/>
    <n v="0"/>
    <s v=""/>
    <m/>
    <n v="2005"/>
    <n v="1"/>
    <n v="0"/>
  </r>
  <r>
    <s v="Ghana"/>
    <x v="3"/>
    <x v="4"/>
    <s v="CWIQ"/>
    <x v="17"/>
    <n v="1"/>
    <n v="1"/>
    <s v="Ghana"/>
    <m/>
    <m/>
    <n v="14"/>
    <n v="0"/>
  </r>
  <r>
    <s v="Ghana"/>
    <x v="3"/>
    <x v="4"/>
    <s v="CWIQ"/>
    <x v="2"/>
    <n v="1"/>
    <n v="0"/>
    <m/>
    <m/>
    <m/>
    <n v="10"/>
    <n v="0"/>
  </r>
  <r>
    <s v="Ghana"/>
    <x v="3"/>
    <x v="0"/>
    <s v="DHS 3, Standard"/>
    <x v="21"/>
    <n v="1"/>
    <n v="1"/>
    <s v="Ghana"/>
    <m/>
    <m/>
    <n v="19"/>
    <n v="0"/>
  </r>
  <r>
    <s v="Ghana"/>
    <x v="3"/>
    <x v="0"/>
    <s v="DHS 3, Standard"/>
    <x v="24"/>
    <n v="1"/>
    <n v="0"/>
    <m/>
    <m/>
    <m/>
    <n v="16"/>
    <n v="0"/>
  </r>
  <r>
    <s v="Ghana"/>
    <x v="3"/>
    <x v="0"/>
    <s v="DHS 3, Standard"/>
    <x v="20"/>
    <n v="1"/>
    <n v="0"/>
    <m/>
    <m/>
    <m/>
    <n v="13"/>
    <n v="0"/>
  </r>
  <r>
    <s v="Ghana"/>
    <x v="3"/>
    <x v="0"/>
    <s v="DHS 3, Standard"/>
    <x v="6"/>
    <n v="1"/>
    <n v="0"/>
    <m/>
    <m/>
    <m/>
    <n v="11"/>
    <n v="0"/>
  </r>
  <r>
    <s v="Ghana"/>
    <x v="3"/>
    <x v="0"/>
    <s v="DHS 3, Standard"/>
    <x v="2"/>
    <n v="1"/>
    <n v="0"/>
    <m/>
    <m/>
    <m/>
    <n v="9"/>
    <n v="0"/>
  </r>
  <r>
    <s v="Ghana"/>
    <x v="3"/>
    <x v="0"/>
    <s v="DHS 3, Standard"/>
    <x v="14"/>
    <n v="1"/>
    <n v="0"/>
    <m/>
    <m/>
    <m/>
    <n v="6"/>
    <n v="0"/>
  </r>
  <r>
    <s v="Ghana"/>
    <x v="3"/>
    <x v="0"/>
    <s v="DHS 3, Standard"/>
    <x v="4"/>
    <n v="1"/>
    <n v="0"/>
    <m/>
    <m/>
    <m/>
    <n v="4"/>
    <n v="0"/>
  </r>
  <r>
    <s v="Ghana"/>
    <x v="3"/>
    <x v="0"/>
    <s v="DHS 3, Standard"/>
    <x v="3"/>
    <n v="1"/>
    <n v="0"/>
    <m/>
    <m/>
    <m/>
    <n v="3"/>
    <n v="0"/>
  </r>
  <r>
    <s v="Ghana"/>
    <x v="3"/>
    <x v="2"/>
    <s v="Living Standards Survey"/>
    <x v="25"/>
    <n v="1"/>
    <n v="1"/>
    <s v="Ghana"/>
    <m/>
    <m/>
    <n v="20"/>
    <n v="1"/>
  </r>
  <r>
    <s v="Ghana"/>
    <x v="3"/>
    <x v="2"/>
    <s v="Living Standards Survey"/>
    <x v="21"/>
    <n v="1"/>
    <n v="0"/>
    <m/>
    <m/>
    <m/>
    <n v="18"/>
    <n v="0"/>
  </r>
  <r>
    <s v="Ghana"/>
    <x v="3"/>
    <x v="2"/>
    <s v="Living Standards Survey"/>
    <x v="23"/>
    <n v="1"/>
    <n v="0"/>
    <m/>
    <m/>
    <m/>
    <n v="17"/>
    <n v="0"/>
  </r>
  <r>
    <s v="Ghana"/>
    <x v="3"/>
    <x v="2"/>
    <s v="Living Standards Survey"/>
    <x v="20"/>
    <n v="1"/>
    <n v="0"/>
    <m/>
    <m/>
    <m/>
    <n v="12"/>
    <n v="0"/>
  </r>
  <r>
    <s v="Ghana"/>
    <x v="3"/>
    <x v="2"/>
    <s v="Living Standards Survey"/>
    <x v="11"/>
    <n v="1"/>
    <n v="0"/>
    <m/>
    <m/>
    <n v="2005"/>
    <n v="8"/>
    <n v="0"/>
  </r>
  <r>
    <s v="Ghana"/>
    <x v="3"/>
    <x v="1"/>
    <n v="1"/>
    <x v="10"/>
    <n v="1"/>
    <n v="1"/>
    <s v="Ghana"/>
    <m/>
    <n v="1995"/>
    <n v="15"/>
    <n v="0"/>
  </r>
  <r>
    <s v="Ghana"/>
    <x v="3"/>
    <x v="1"/>
    <n v="3"/>
    <x v="11"/>
    <n v="1"/>
    <n v="0"/>
    <s v=""/>
    <m/>
    <n v="2006"/>
    <n v="7"/>
    <n v="0"/>
  </r>
  <r>
    <s v="Ghana"/>
    <x v="3"/>
    <x v="1"/>
    <n v="3"/>
    <x v="14"/>
    <n v="1"/>
    <n v="0"/>
    <s v=""/>
    <s v="District"/>
    <n v="2007"/>
    <n v="5"/>
    <n v="0"/>
  </r>
  <r>
    <s v="Ghana"/>
    <x v="3"/>
    <x v="1"/>
    <n v="4"/>
    <x v="3"/>
    <n v="1"/>
    <n v="0"/>
    <s v=""/>
    <s v="Accra"/>
    <n v="2010"/>
    <n v="2"/>
    <n v="0"/>
  </r>
  <r>
    <s v="Ghana"/>
    <x v="3"/>
    <x v="1"/>
    <n v="4"/>
    <x v="3"/>
    <n v="1"/>
    <n v="0"/>
    <s v=""/>
    <m/>
    <n v="2011"/>
    <n v="1"/>
    <n v="0"/>
  </r>
  <r>
    <s v="Grenada"/>
    <x v="4"/>
    <x v="4"/>
    <m/>
    <x v="8"/>
    <n v="1"/>
    <n v="1"/>
    <s v="Grenada"/>
    <m/>
    <n v="2005"/>
    <n v="1"/>
    <n v="1"/>
  </r>
  <r>
    <s v="Guatemala"/>
    <x v="4"/>
    <x v="0"/>
    <s v="DHS"/>
    <x v="17"/>
    <n v="1"/>
    <n v="0"/>
    <m/>
    <m/>
    <m/>
    <n v="4"/>
    <n v="0"/>
  </r>
  <r>
    <s v="Guatemala"/>
    <x v="4"/>
    <x v="0"/>
    <s v="DHS 2, Standard"/>
    <x v="25"/>
    <n v="1"/>
    <n v="1"/>
    <s v="Guatemala"/>
    <m/>
    <m/>
    <n v="6"/>
    <n v="1"/>
  </r>
  <r>
    <s v="Guatemala"/>
    <x v="4"/>
    <x v="0"/>
    <s v="DHS 3, Interim"/>
    <x v="10"/>
    <n v="1"/>
    <n v="0"/>
    <m/>
    <m/>
    <m/>
    <n v="5"/>
    <n v="0"/>
  </r>
  <r>
    <s v="Guatemala"/>
    <x v="4"/>
    <x v="0"/>
    <s v="DHS 3, Standard"/>
    <x v="17"/>
    <n v="1"/>
    <n v="0"/>
    <m/>
    <m/>
    <m/>
    <n v="3"/>
    <n v="0"/>
  </r>
  <r>
    <s v="Guatemala"/>
    <x v="4"/>
    <x v="0"/>
    <s v="DHS 3, Standard"/>
    <x v="13"/>
    <n v="1"/>
    <n v="0"/>
    <m/>
    <m/>
    <m/>
    <n v="2"/>
    <n v="0"/>
  </r>
  <r>
    <s v="Guatemala"/>
    <x v="4"/>
    <x v="2"/>
    <s v="Encuesta Nacional sobre Condiciones de Vida"/>
    <x v="1"/>
    <n v="1"/>
    <n v="1"/>
    <s v="Guatemala"/>
    <s v="MICS 2015 coming up"/>
    <m/>
    <n v="1"/>
    <n v="0"/>
  </r>
  <r>
    <s v="Guinea"/>
    <x v="3"/>
    <x v="4"/>
    <s v="CWIQ"/>
    <x v="6"/>
    <n v="1"/>
    <n v="1"/>
    <s v="Guinea"/>
    <m/>
    <m/>
    <n v="4"/>
    <n v="0"/>
  </r>
  <r>
    <s v="Guinea"/>
    <x v="3"/>
    <x v="4"/>
    <s v="Light Survey for Poverty Assessment: CWIQ"/>
    <x v="14"/>
    <n v="1"/>
    <n v="0"/>
    <m/>
    <m/>
    <m/>
    <n v="2"/>
    <n v="0"/>
  </r>
  <r>
    <s v="Guinea"/>
    <x v="3"/>
    <x v="0"/>
    <s v="DHS 3, Standard"/>
    <x v="28"/>
    <n v="1"/>
    <n v="1"/>
    <m/>
    <m/>
    <m/>
    <n v="6"/>
    <n v="1"/>
  </r>
  <r>
    <s v="Guinea"/>
    <x v="3"/>
    <x v="0"/>
    <s v="DHS 3, Standard"/>
    <x v="13"/>
    <n v="1"/>
    <n v="0"/>
    <m/>
    <m/>
    <m/>
    <n v="5"/>
    <n v="0"/>
  </r>
  <r>
    <s v="Guinea"/>
    <x v="3"/>
    <x v="0"/>
    <s v="DHS 2, Standard"/>
    <x v="8"/>
    <n v="1"/>
    <n v="0"/>
    <m/>
    <m/>
    <m/>
    <n v="3"/>
    <n v="0"/>
  </r>
  <r>
    <s v="Guinea"/>
    <x v="3"/>
    <x v="0"/>
    <s v="DHS 3, Standard"/>
    <x v="9"/>
    <n v="1"/>
    <n v="0"/>
    <m/>
    <m/>
    <m/>
    <n v="1"/>
    <n v="0"/>
  </r>
  <r>
    <s v="Guinea-Bissau"/>
    <x v="3"/>
    <x v="1"/>
    <n v="2"/>
    <x v="1"/>
    <n v="1"/>
    <n v="1"/>
    <s v="Guinea-Bissau"/>
    <m/>
    <n v="2000"/>
    <n v="3"/>
    <n v="1"/>
  </r>
  <r>
    <s v="Guinea-Bissau"/>
    <x v="3"/>
    <x v="1"/>
    <n v="3"/>
    <x v="11"/>
    <n v="1"/>
    <n v="0"/>
    <s v=""/>
    <m/>
    <n v="2006"/>
    <n v="2"/>
    <n v="0"/>
  </r>
  <r>
    <s v="Guinea-Bissau"/>
    <x v="3"/>
    <x v="1"/>
    <n v="4"/>
    <x v="0"/>
    <n v="1"/>
    <n v="0"/>
    <s v=""/>
    <m/>
    <n v="2010"/>
    <n v="1"/>
    <n v="0"/>
  </r>
  <r>
    <s v="Guyana"/>
    <x v="4"/>
    <x v="0"/>
    <s v="DHS 4, Standard"/>
    <x v="7"/>
    <n v="1"/>
    <n v="1"/>
    <s v="Guyana"/>
    <m/>
    <m/>
    <n v="4"/>
    <n v="0"/>
  </r>
  <r>
    <s v="Guyana"/>
    <x v="4"/>
    <x v="0"/>
    <s v="DHS 4, Standard"/>
    <x v="8"/>
    <n v="1"/>
    <n v="0"/>
    <m/>
    <m/>
    <m/>
    <n v="3"/>
    <n v="0"/>
  </r>
  <r>
    <s v="Guyana"/>
    <x v="4"/>
    <x v="0"/>
    <s v="DHS 3, Standard"/>
    <x v="15"/>
    <n v="1"/>
    <n v="0"/>
    <m/>
    <m/>
    <m/>
    <n v="1"/>
    <n v="0"/>
  </r>
  <r>
    <s v="Guyana"/>
    <x v="4"/>
    <x v="2"/>
    <s v="Living Standards Measurement Survey"/>
    <x v="28"/>
    <n v="1"/>
    <n v="1"/>
    <s v="Guyana"/>
    <m/>
    <m/>
    <n v="6"/>
    <n v="1"/>
  </r>
  <r>
    <s v="Guyana"/>
    <x v="4"/>
    <x v="1"/>
    <n v="2"/>
    <x v="1"/>
    <n v="1"/>
    <n v="1"/>
    <s v="Guyana"/>
    <m/>
    <n v="2000"/>
    <n v="5"/>
    <n v="0"/>
  </r>
  <r>
    <s v="Guyana"/>
    <x v="4"/>
    <x v="1"/>
    <n v="3"/>
    <x v="14"/>
    <n v="1"/>
    <n v="0"/>
    <s v=""/>
    <m/>
    <n v="2006"/>
    <n v="2"/>
    <n v="0"/>
  </r>
  <r>
    <s v="Haiti"/>
    <x v="4"/>
    <x v="0"/>
    <s v="DHS 4, Standard"/>
    <x v="16"/>
    <n v="1"/>
    <n v="0"/>
    <m/>
    <m/>
    <m/>
    <n v="5"/>
    <n v="1"/>
  </r>
  <r>
    <s v="Haiti"/>
    <x v="4"/>
    <x v="0"/>
    <s v="DHS 4, Standard"/>
    <x v="1"/>
    <n v="1"/>
    <n v="1"/>
    <s v="Haiti"/>
    <m/>
    <m/>
    <n v="4"/>
    <n v="0"/>
  </r>
  <r>
    <s v="Haiti"/>
    <x v="4"/>
    <x v="0"/>
    <s v="DHS 4, Interim"/>
    <x v="11"/>
    <n v="1"/>
    <n v="0"/>
    <m/>
    <m/>
    <m/>
    <n v="3"/>
    <n v="0"/>
  </r>
  <r>
    <s v="Haiti"/>
    <x v="4"/>
    <x v="0"/>
    <s v="DHS 4, Standard"/>
    <x v="9"/>
    <n v="1"/>
    <n v="0"/>
    <m/>
    <m/>
    <m/>
    <n v="2"/>
    <n v="0"/>
  </r>
  <r>
    <s v="Haiti"/>
    <x v="4"/>
    <x v="0"/>
    <s v="DHS 4, Standard"/>
    <x v="18"/>
    <n v="1"/>
    <n v="0"/>
    <m/>
    <m/>
    <m/>
    <n v="1"/>
    <n v="0"/>
  </r>
  <r>
    <s v="Honduras"/>
    <x v="4"/>
    <x v="0"/>
    <s v="DHS 4, MCH SPA"/>
    <x v="8"/>
    <n v="1"/>
    <n v="1"/>
    <s v="Honduras"/>
    <m/>
    <m/>
    <n v="2"/>
    <n v="1"/>
  </r>
  <r>
    <s v="Honduras"/>
    <x v="4"/>
    <x v="0"/>
    <s v="DHS 4, Standard"/>
    <x v="3"/>
    <n v="1"/>
    <n v="0"/>
    <m/>
    <m/>
    <m/>
    <n v="1"/>
    <n v="0"/>
  </r>
  <r>
    <s v="India"/>
    <x v="0"/>
    <x v="0"/>
    <s v="DHS 4, Standard"/>
    <x v="24"/>
    <n v="1"/>
    <n v="1"/>
    <s v="India"/>
    <m/>
    <m/>
    <n v="5"/>
    <n v="1"/>
  </r>
  <r>
    <s v="India"/>
    <x v="0"/>
    <x v="0"/>
    <s v="DHS 4, Standard"/>
    <x v="13"/>
    <n v="1"/>
    <n v="0"/>
    <m/>
    <m/>
    <m/>
    <n v="3"/>
    <n v="0"/>
  </r>
  <r>
    <s v="India"/>
    <x v="0"/>
    <x v="0"/>
    <s v="DHS 4, Standard"/>
    <x v="8"/>
    <n v="1"/>
    <n v="0"/>
    <m/>
    <m/>
    <m/>
    <n v="1"/>
    <n v="0"/>
  </r>
  <r>
    <s v="India"/>
    <x v="0"/>
    <x v="1"/>
    <n v="2"/>
    <x v="1"/>
    <n v="1"/>
    <n v="1"/>
    <s v="India"/>
    <m/>
    <n v="2000"/>
    <n v="2"/>
    <n v="0"/>
  </r>
  <r>
    <s v="India"/>
    <x v="0"/>
    <x v="2"/>
    <s v="Uttar Pradesh and Bihar Survey of Living Condition..."/>
    <x v="17"/>
    <n v="1"/>
    <n v="1"/>
    <s v="India"/>
    <m/>
    <m/>
    <n v="4"/>
    <n v="0"/>
  </r>
  <r>
    <s v="Indonesia"/>
    <x v="6"/>
    <x v="0"/>
    <s v="DHS 4, Standard"/>
    <x v="17"/>
    <n v="1"/>
    <n v="0"/>
    <m/>
    <m/>
    <m/>
    <n v="9"/>
    <n v="0"/>
  </r>
  <r>
    <s v="Indonesia"/>
    <x v="6"/>
    <x v="0"/>
    <s v="DHS 4, Standard"/>
    <x v="25"/>
    <n v="1"/>
    <n v="1"/>
    <s v="Indonesia"/>
    <m/>
    <m/>
    <n v="12"/>
    <n v="1"/>
  </r>
  <r>
    <s v="Indonesia"/>
    <x v="6"/>
    <x v="0"/>
    <s v="DHS 4, MCH SPA"/>
    <x v="23"/>
    <n v="1"/>
    <n v="0"/>
    <m/>
    <m/>
    <m/>
    <n v="11"/>
    <n v="0"/>
  </r>
  <r>
    <s v="Indonesia"/>
    <x v="6"/>
    <x v="0"/>
    <s v="DHS 4, Standard"/>
    <x v="16"/>
    <n v="1"/>
    <n v="0"/>
    <m/>
    <m/>
    <m/>
    <n v="10"/>
    <n v="0"/>
  </r>
  <r>
    <s v="Indonesia"/>
    <x v="6"/>
    <x v="0"/>
    <s v="DHS 4, Standard"/>
    <x v="6"/>
    <n v="1"/>
    <n v="0"/>
    <m/>
    <m/>
    <m/>
    <n v="7"/>
    <n v="0"/>
  </r>
  <r>
    <s v="Indonesia"/>
    <x v="6"/>
    <x v="0"/>
    <s v="DHS 4, Standard"/>
    <x v="2"/>
    <n v="1"/>
    <n v="0"/>
    <m/>
    <m/>
    <m/>
    <n v="6"/>
    <n v="0"/>
  </r>
  <r>
    <s v="Indonesia"/>
    <x v="6"/>
    <x v="0"/>
    <s v="DHS 4, Standard"/>
    <x v="14"/>
    <n v="1"/>
    <n v="0"/>
    <m/>
    <m/>
    <m/>
    <n v="5"/>
    <n v="0"/>
  </r>
  <r>
    <s v="Indonesia"/>
    <x v="6"/>
    <x v="0"/>
    <s v="DHS 4, Standard"/>
    <x v="14"/>
    <n v="1"/>
    <n v="0"/>
    <m/>
    <m/>
    <m/>
    <n v="4"/>
    <n v="0"/>
  </r>
  <r>
    <s v="Indonesia"/>
    <x v="6"/>
    <x v="0"/>
    <s v="DHS 4, Standard"/>
    <x v="9"/>
    <n v="1"/>
    <n v="0"/>
    <m/>
    <m/>
    <m/>
    <n v="1"/>
    <n v="0"/>
  </r>
  <r>
    <s v="Indonesia"/>
    <x v="6"/>
    <x v="1"/>
    <n v="2"/>
    <x v="1"/>
    <n v="1"/>
    <n v="1"/>
    <s v="Indonesia"/>
    <m/>
    <n v="2000"/>
    <n v="8"/>
    <n v="0"/>
  </r>
  <r>
    <s v="Indonesia"/>
    <x v="6"/>
    <x v="1"/>
    <n v="4"/>
    <x v="3"/>
    <n v="1"/>
    <n v="0"/>
    <s v=""/>
    <s v="Selected districts of Papua"/>
    <n v="2011"/>
    <n v="3"/>
    <n v="0"/>
  </r>
  <r>
    <s v="Indonesia"/>
    <x v="6"/>
    <x v="1"/>
    <n v="4"/>
    <x v="3"/>
    <n v="1"/>
    <n v="0"/>
    <s v=""/>
    <s v="Selected districts of West Papua"/>
    <n v="2011"/>
    <n v="2"/>
    <n v="0"/>
  </r>
  <r>
    <s v="Iraq"/>
    <x v="2"/>
    <x v="2"/>
    <s v="Iraq Household Socio-Economic Survey"/>
    <x v="11"/>
    <n v="1"/>
    <n v="1"/>
    <s v="Iraq"/>
    <m/>
    <m/>
    <n v="3"/>
    <n v="0"/>
  </r>
  <r>
    <s v="Iraq"/>
    <x v="2"/>
    <x v="1"/>
    <n v="2"/>
    <x v="1"/>
    <n v="1"/>
    <n v="1"/>
    <s v="Iraq"/>
    <m/>
    <n v="2000"/>
    <n v="4"/>
    <n v="1"/>
  </r>
  <r>
    <s v="Iraq"/>
    <x v="2"/>
    <x v="1"/>
    <n v="3"/>
    <x v="11"/>
    <n v="1"/>
    <n v="0"/>
    <s v=""/>
    <m/>
    <n v="2006"/>
    <n v="2"/>
    <n v="0"/>
  </r>
  <r>
    <s v="Iraq"/>
    <x v="2"/>
    <x v="1"/>
    <n v="4"/>
    <x v="3"/>
    <n v="1"/>
    <n v="0"/>
    <s v=""/>
    <m/>
    <n v="2011"/>
    <n v="1"/>
    <n v="0"/>
  </r>
  <r>
    <s v="Jamaica"/>
    <x v="4"/>
    <x v="2"/>
    <s v="Survey of Living Conditions"/>
    <x v="21"/>
    <n v="1"/>
    <n v="1"/>
    <s v="Jamaica"/>
    <m/>
    <m/>
    <n v="25"/>
    <n v="1"/>
  </r>
  <r>
    <s v="Jamaica"/>
    <x v="4"/>
    <x v="2"/>
    <s v="Survey of Living Conditions"/>
    <x v="19"/>
    <n v="1"/>
    <n v="0"/>
    <m/>
    <m/>
    <m/>
    <n v="24"/>
    <n v="0"/>
  </r>
  <r>
    <s v="Jamaica"/>
    <x v="4"/>
    <x v="2"/>
    <s v="Survey of Living Conditions"/>
    <x v="19"/>
    <n v="1"/>
    <n v="0"/>
    <m/>
    <m/>
    <m/>
    <n v="23"/>
    <n v="0"/>
  </r>
  <r>
    <s v="Jamaica"/>
    <x v="4"/>
    <x v="2"/>
    <s v="Survey of Living Conditions"/>
    <x v="26"/>
    <n v="1"/>
    <n v="0"/>
    <m/>
    <m/>
    <m/>
    <n v="22"/>
    <n v="0"/>
  </r>
  <r>
    <s v="Jamaica"/>
    <x v="4"/>
    <x v="2"/>
    <s v="Survey of Living Conditions"/>
    <x v="23"/>
    <n v="1"/>
    <n v="0"/>
    <m/>
    <m/>
    <m/>
    <n v="21"/>
    <n v="0"/>
  </r>
  <r>
    <s v="Jamaica"/>
    <x v="4"/>
    <x v="2"/>
    <s v="Survey of Living Conditions"/>
    <x v="28"/>
    <n v="1"/>
    <n v="0"/>
    <m/>
    <m/>
    <m/>
    <n v="20"/>
    <n v="0"/>
  </r>
  <r>
    <s v="Jamaica"/>
    <x v="4"/>
    <x v="2"/>
    <s v="Survey of Living Conditions"/>
    <x v="24"/>
    <n v="1"/>
    <n v="0"/>
    <m/>
    <m/>
    <m/>
    <n v="19"/>
    <n v="0"/>
  </r>
  <r>
    <s v="Jamaica"/>
    <x v="4"/>
    <x v="2"/>
    <s v="Survey of Living Conditions"/>
    <x v="16"/>
    <n v="1"/>
    <n v="0"/>
    <m/>
    <m/>
    <m/>
    <n v="18"/>
    <n v="0"/>
  </r>
  <r>
    <s v="Jamaica"/>
    <x v="4"/>
    <x v="2"/>
    <s v="Survey of Living Conditions"/>
    <x v="10"/>
    <n v="1"/>
    <n v="0"/>
    <m/>
    <m/>
    <m/>
    <n v="17"/>
    <n v="0"/>
  </r>
  <r>
    <s v="Jamaica"/>
    <x v="4"/>
    <x v="2"/>
    <s v="Survey of Living Conditions"/>
    <x v="5"/>
    <n v="1"/>
    <n v="0"/>
    <m/>
    <m/>
    <m/>
    <n v="16"/>
    <n v="0"/>
  </r>
  <r>
    <s v="Jamaica"/>
    <x v="4"/>
    <x v="2"/>
    <s v="Survey of Living Conditions"/>
    <x v="20"/>
    <n v="1"/>
    <n v="0"/>
    <m/>
    <m/>
    <m/>
    <n v="14"/>
    <n v="0"/>
  </r>
  <r>
    <s v="Jamaica"/>
    <x v="4"/>
    <x v="2"/>
    <s v="Survey of Living Conditions"/>
    <x v="13"/>
    <n v="1"/>
    <n v="0"/>
    <m/>
    <m/>
    <m/>
    <n v="13"/>
    <n v="0"/>
  </r>
  <r>
    <s v="Jamaica"/>
    <x v="4"/>
    <x v="2"/>
    <s v="Survey of Living Conditions"/>
    <x v="1"/>
    <n v="1"/>
    <n v="0"/>
    <m/>
    <m/>
    <m/>
    <n v="12"/>
    <n v="0"/>
  </r>
  <r>
    <s v="Jamaica"/>
    <x v="4"/>
    <x v="2"/>
    <s v="Survey of Living Conditions"/>
    <x v="12"/>
    <n v="1"/>
    <n v="0"/>
    <m/>
    <m/>
    <n v="2001"/>
    <n v="10"/>
    <n v="0"/>
  </r>
  <r>
    <s v="Jamaica"/>
    <x v="4"/>
    <x v="2"/>
    <s v="Survey of Living Conditions"/>
    <x v="6"/>
    <n v="1"/>
    <n v="0"/>
    <m/>
    <m/>
    <n v="2002"/>
    <n v="9"/>
    <n v="0"/>
  </r>
  <r>
    <s v="Jamaica"/>
    <x v="4"/>
    <x v="2"/>
    <s v="Survey of Living Conditions"/>
    <x v="2"/>
    <n v="1"/>
    <n v="0"/>
    <m/>
    <m/>
    <n v="2003"/>
    <n v="8"/>
    <n v="0"/>
  </r>
  <r>
    <s v="Jamaica"/>
    <x v="4"/>
    <x v="2"/>
    <s v="Survey of Living Conditions"/>
    <x v="7"/>
    <n v="1"/>
    <n v="0"/>
    <m/>
    <m/>
    <n v="2004"/>
    <n v="7"/>
    <n v="0"/>
  </r>
  <r>
    <s v="Jamaica"/>
    <x v="4"/>
    <x v="2"/>
    <s v="Survey of Living Conditions"/>
    <x v="11"/>
    <n v="1"/>
    <n v="0"/>
    <m/>
    <m/>
    <n v="2006"/>
    <n v="5"/>
    <n v="0"/>
  </r>
  <r>
    <s v="Jamaica"/>
    <x v="4"/>
    <x v="2"/>
    <s v="Survey of Living Conditions"/>
    <x v="14"/>
    <n v="1"/>
    <n v="0"/>
    <m/>
    <m/>
    <n v="2007"/>
    <n v="4"/>
    <n v="0"/>
  </r>
  <r>
    <s v="Jamaica"/>
    <x v="4"/>
    <x v="2"/>
    <s v="Survey of Living Conditions"/>
    <x v="4"/>
    <n v="1"/>
    <n v="0"/>
    <m/>
    <m/>
    <n v="2008"/>
    <n v="3"/>
    <n v="0"/>
  </r>
  <r>
    <s v="Jamaica"/>
    <x v="4"/>
    <x v="2"/>
    <s v="Survey of Living Conditions"/>
    <x v="15"/>
    <n v="1"/>
    <n v="0"/>
    <m/>
    <m/>
    <n v="2009"/>
    <n v="2"/>
    <n v="0"/>
  </r>
  <r>
    <s v="Jamaica"/>
    <x v="4"/>
    <x v="1"/>
    <n v="2"/>
    <x v="1"/>
    <n v="1"/>
    <n v="1"/>
    <s v="Jamaica"/>
    <m/>
    <n v="2000"/>
    <n v="11"/>
    <n v="0"/>
  </r>
  <r>
    <s v="Jamaica"/>
    <x v="4"/>
    <x v="1"/>
    <n v="3"/>
    <x v="8"/>
    <n v="1"/>
    <n v="0"/>
    <s v=""/>
    <m/>
    <n v="2005"/>
    <n v="6"/>
    <n v="0"/>
  </r>
  <r>
    <s v="Jamaica"/>
    <x v="4"/>
    <x v="1"/>
    <n v="4"/>
    <x v="3"/>
    <n v="1"/>
    <n v="0"/>
    <m/>
    <m/>
    <m/>
    <n v="1"/>
    <n v="0"/>
  </r>
  <r>
    <s v="Jamaica"/>
    <x v="4"/>
    <x v="2"/>
    <s v="Survey of Living Conditions"/>
    <x v="17"/>
    <n v="1"/>
    <n v="0"/>
    <m/>
    <m/>
    <m/>
    <n v="15"/>
    <n v="0"/>
  </r>
  <r>
    <s v="Jordan"/>
    <x v="2"/>
    <x v="0"/>
    <s v="DHS 4, Standard"/>
    <x v="17"/>
    <n v="1"/>
    <n v="0"/>
    <m/>
    <m/>
    <m/>
    <n v="5"/>
    <n v="0"/>
  </r>
  <r>
    <s v="Jordan"/>
    <x v="2"/>
    <x v="0"/>
    <s v="DHS Other, Standard"/>
    <x v="26"/>
    <n v="1"/>
    <n v="1"/>
    <s v="Jordan"/>
    <m/>
    <m/>
    <n v="6"/>
    <n v="1"/>
  </r>
  <r>
    <s v="Jordan"/>
    <x v="2"/>
    <x v="0"/>
    <s v="DHS 4, Standard"/>
    <x v="6"/>
    <n v="1"/>
    <n v="0"/>
    <m/>
    <m/>
    <m/>
    <n v="4"/>
    <n v="0"/>
  </r>
  <r>
    <s v="Jordan"/>
    <x v="2"/>
    <x v="0"/>
    <s v="DHS 4, Standard"/>
    <x v="14"/>
    <n v="1"/>
    <n v="0"/>
    <m/>
    <m/>
    <m/>
    <n v="3"/>
    <n v="0"/>
  </r>
  <r>
    <s v="Jordan"/>
    <x v="2"/>
    <x v="0"/>
    <s v="DHS 4, Standard"/>
    <x v="15"/>
    <n v="1"/>
    <n v="0"/>
    <m/>
    <m/>
    <m/>
    <n v="2"/>
    <n v="0"/>
  </r>
  <r>
    <s v="Jordan"/>
    <x v="2"/>
    <x v="0"/>
    <s v="DHS 4, Standard"/>
    <x v="9"/>
    <n v="1"/>
    <n v="0"/>
    <m/>
    <m/>
    <m/>
    <n v="1"/>
    <n v="0"/>
  </r>
  <r>
    <s v="Kazakhstan"/>
    <x v="1"/>
    <x v="0"/>
    <s v="DHS 4, Special"/>
    <x v="10"/>
    <n v="1"/>
    <n v="1"/>
    <s v="Kazakhstan"/>
    <m/>
    <m/>
    <n v="5"/>
    <n v="1"/>
  </r>
  <r>
    <s v="Kazakhstan"/>
    <x v="1"/>
    <x v="0"/>
    <s v="DHS 4, Standard"/>
    <x v="13"/>
    <n v="1"/>
    <n v="0"/>
    <m/>
    <m/>
    <m/>
    <n v="3"/>
    <n v="0"/>
  </r>
  <r>
    <s v="Kazakhstan"/>
    <x v="1"/>
    <x v="2"/>
    <s v="Living Standards Measurement Survey"/>
    <x v="5"/>
    <n v="1"/>
    <n v="1"/>
    <s v="Kazakhstan"/>
    <m/>
    <m/>
    <n v="4"/>
    <n v="0"/>
  </r>
  <r>
    <s v="Kazakhstan"/>
    <x v="1"/>
    <x v="1"/>
    <n v="3"/>
    <x v="11"/>
    <n v="1"/>
    <n v="1"/>
    <s v="Kazakhstan"/>
    <m/>
    <n v="2006"/>
    <n v="2"/>
    <n v="0"/>
  </r>
  <r>
    <s v="Kazakhstan"/>
    <x v="1"/>
    <x v="1"/>
    <n v="4"/>
    <x v="3"/>
    <n v="1"/>
    <n v="0"/>
    <s v=""/>
    <m/>
    <n v="2010"/>
    <n v="1"/>
    <n v="0"/>
  </r>
  <r>
    <s v="Kenya"/>
    <x v="3"/>
    <x v="4"/>
    <s v="Welfare Monitary Survey"/>
    <x v="17"/>
    <n v="1"/>
    <n v="0"/>
    <m/>
    <m/>
    <m/>
    <n v="16"/>
    <n v="0"/>
  </r>
  <r>
    <s v="Kenya"/>
    <x v="3"/>
    <x v="0"/>
    <s v="DHS 4, Standard"/>
    <x v="19"/>
    <n v="1"/>
    <n v="1"/>
    <s v="Kenya"/>
    <m/>
    <m/>
    <n v="14"/>
    <n v="1"/>
  </r>
  <r>
    <s v="Kenya"/>
    <x v="3"/>
    <x v="0"/>
    <s v="DHS 4, Standard"/>
    <x v="24"/>
    <n v="1"/>
    <n v="0"/>
    <m/>
    <m/>
    <m/>
    <n v="13"/>
    <n v="0"/>
  </r>
  <r>
    <s v="Kenya"/>
    <x v="3"/>
    <x v="0"/>
    <s v="DHS 4, Standard"/>
    <x v="20"/>
    <n v="1"/>
    <n v="0"/>
    <m/>
    <m/>
    <m/>
    <n v="12"/>
    <n v="0"/>
  </r>
  <r>
    <s v="Kenya"/>
    <x v="3"/>
    <x v="0"/>
    <s v="DHS 4, MCH SPA"/>
    <x v="13"/>
    <n v="1"/>
    <n v="0"/>
    <m/>
    <m/>
    <m/>
    <n v="11"/>
    <n v="0"/>
  </r>
  <r>
    <s v="Kenya"/>
    <x v="3"/>
    <x v="0"/>
    <s v="DHS 4, Standard"/>
    <x v="2"/>
    <n v="1"/>
    <n v="0"/>
    <m/>
    <m/>
    <m/>
    <n v="9"/>
    <n v="0"/>
  </r>
  <r>
    <s v="Kenya"/>
    <x v="3"/>
    <x v="0"/>
    <s v="DHS 4, MCH SPA"/>
    <x v="7"/>
    <n v="1"/>
    <n v="0"/>
    <m/>
    <m/>
    <m/>
    <n v="8"/>
    <n v="0"/>
  </r>
  <r>
    <s v="Kenya"/>
    <x v="3"/>
    <x v="0"/>
    <s v="DHS 4, Standard"/>
    <x v="4"/>
    <n v="1"/>
    <n v="0"/>
    <m/>
    <m/>
    <m/>
    <n v="7"/>
    <n v="0"/>
  </r>
  <r>
    <s v="Kenya"/>
    <x v="3"/>
    <x v="0"/>
    <s v="DHS 4, MCH SPA"/>
    <x v="0"/>
    <n v="1"/>
    <n v="0"/>
    <m/>
    <m/>
    <m/>
    <n v="4"/>
    <n v="0"/>
  </r>
  <r>
    <s v="Kenya"/>
    <x v="3"/>
    <x v="0"/>
    <s v="DHS 4, Standard"/>
    <x v="0"/>
    <n v="1"/>
    <n v="0"/>
    <m/>
    <m/>
    <m/>
    <n v="3"/>
    <n v="0"/>
  </r>
  <r>
    <s v="Kenya"/>
    <x v="3"/>
    <x v="1"/>
    <n v="2"/>
    <x v="1"/>
    <n v="1"/>
    <n v="1"/>
    <s v="Kenya"/>
    <m/>
    <n v="2000"/>
    <n v="10"/>
    <n v="0"/>
  </r>
  <r>
    <s v="Kenya"/>
    <x v="3"/>
    <x v="1"/>
    <n v="3"/>
    <x v="4"/>
    <n v="1"/>
    <n v="0"/>
    <s v=""/>
    <s v="Eastern province"/>
    <n v="2008"/>
    <n v="6"/>
    <n v="0"/>
  </r>
  <r>
    <s v="Kenya"/>
    <x v="3"/>
    <x v="1"/>
    <n v="4"/>
    <x v="15"/>
    <n v="1"/>
    <n v="0"/>
    <s v=""/>
    <s v="Mombasa informal settlements"/>
    <n v="2009"/>
    <n v="5"/>
    <n v="0"/>
  </r>
  <r>
    <s v="Kenya"/>
    <x v="3"/>
    <x v="1"/>
    <n v="4"/>
    <x v="3"/>
    <n v="1"/>
    <n v="0"/>
    <m/>
    <m/>
    <m/>
    <n v="2"/>
    <n v="0"/>
  </r>
  <r>
    <s v="Kenya"/>
    <x v="3"/>
    <x v="1"/>
    <n v="5"/>
    <x v="29"/>
    <n v="1"/>
    <n v="0"/>
    <m/>
    <m/>
    <n v="2013"/>
    <n v="1"/>
    <n v="0"/>
  </r>
  <r>
    <s v="Kenya"/>
    <x v="3"/>
    <x v="4"/>
    <s v="Welfare Monitoring Survey:CWIQ, First Round"/>
    <x v="28"/>
    <n v="1"/>
    <n v="1"/>
    <s v="Kenya"/>
    <m/>
    <m/>
    <n v="15"/>
    <n v="0"/>
  </r>
  <r>
    <s v="Kenya"/>
    <x v="3"/>
    <x v="2"/>
    <s v="Integrated Household Budget Survey"/>
    <x v="11"/>
    <n v="1"/>
    <n v="1"/>
    <s v="Kenya"/>
    <m/>
    <m/>
    <n v="17"/>
    <n v="0"/>
  </r>
  <r>
    <s v="Korea, Democratic People's Republic of"/>
    <x v="6"/>
    <x v="1"/>
    <n v="2"/>
    <x v="1"/>
    <n v="1"/>
    <n v="1"/>
    <s v="Korea, Democratic People's Republic of"/>
    <m/>
    <n v="2000"/>
    <n v="2"/>
    <n v="1"/>
  </r>
  <r>
    <s v="Korea, Democratic People's Republic of"/>
    <x v="6"/>
    <x v="1"/>
    <n v="4"/>
    <x v="15"/>
    <n v="1"/>
    <n v="0"/>
    <s v=""/>
    <m/>
    <n v="2009"/>
    <n v="1"/>
    <n v="0"/>
  </r>
  <r>
    <s v="Kosovo (UNSCR 1244/99)"/>
    <x v="1"/>
    <x v="1"/>
    <n v="5"/>
    <x v="29"/>
    <n v="1"/>
    <n v="1"/>
    <s v="Kosovo (UNSCR 1244/99)"/>
    <m/>
    <m/>
    <n v="1"/>
    <n v="1"/>
  </r>
  <r>
    <s v="Kosovo (settlements)"/>
    <x v="1"/>
    <x v="1"/>
    <n v="5"/>
    <x v="29"/>
    <n v="1"/>
    <n v="0"/>
    <s v=""/>
    <m/>
    <m/>
    <n v="2"/>
    <n v="0"/>
  </r>
  <r>
    <s v="Kyrgyzstan"/>
    <x v="1"/>
    <x v="0"/>
    <s v="DHS 4, Standard"/>
    <x v="17"/>
    <n v="1"/>
    <n v="1"/>
    <s v="Kyrgyzstan"/>
    <m/>
    <m/>
    <n v="13"/>
    <n v="0"/>
  </r>
  <r>
    <s v="Kyrgyzstan"/>
    <x v="1"/>
    <x v="0"/>
    <s v="DHS 4, Standard"/>
    <x v="9"/>
    <n v="1"/>
    <n v="0"/>
    <m/>
    <m/>
    <m/>
    <n v="1"/>
    <n v="0"/>
  </r>
  <r>
    <s v="Kyrgyzstan"/>
    <x v="1"/>
    <x v="5"/>
    <s v="ILCS"/>
    <x v="8"/>
    <n v="1"/>
    <n v="1"/>
    <s v="Kyrgyzstan"/>
    <m/>
    <m/>
    <n v="10"/>
    <n v="0"/>
  </r>
  <r>
    <s v="Kyrgyzstan"/>
    <x v="1"/>
    <x v="5"/>
    <s v="ILCS"/>
    <x v="11"/>
    <n v="1"/>
    <n v="0"/>
    <m/>
    <m/>
    <m/>
    <n v="8"/>
    <n v="0"/>
  </r>
  <r>
    <s v="Kyrgyzstan"/>
    <x v="1"/>
    <x v="5"/>
    <s v="ILCS"/>
    <x v="14"/>
    <n v="1"/>
    <n v="0"/>
    <m/>
    <m/>
    <m/>
    <n v="7"/>
    <n v="0"/>
  </r>
  <r>
    <s v="Kyrgyzstan"/>
    <x v="1"/>
    <x v="5"/>
    <s v="ILCS"/>
    <x v="4"/>
    <n v="1"/>
    <n v="0"/>
    <m/>
    <m/>
    <m/>
    <n v="6"/>
    <n v="0"/>
  </r>
  <r>
    <s v="Kyrgyzstan"/>
    <x v="1"/>
    <x v="5"/>
    <s v="ILCS"/>
    <x v="15"/>
    <n v="1"/>
    <n v="0"/>
    <m/>
    <m/>
    <m/>
    <n v="5"/>
    <n v="0"/>
  </r>
  <r>
    <s v="Kyrgyzstan"/>
    <x v="1"/>
    <x v="5"/>
    <s v="ILCS"/>
    <x v="0"/>
    <n v="1"/>
    <n v="0"/>
    <m/>
    <m/>
    <m/>
    <n v="4"/>
    <n v="0"/>
  </r>
  <r>
    <s v="Kyrgyzstan"/>
    <x v="1"/>
    <x v="5"/>
    <s v="ILCS"/>
    <x v="3"/>
    <n v="1"/>
    <n v="0"/>
    <m/>
    <m/>
    <m/>
    <n v="3"/>
    <n v="0"/>
  </r>
  <r>
    <s v="Kyrgyzstan"/>
    <x v="1"/>
    <x v="5"/>
    <s v="ILCS"/>
    <x v="9"/>
    <n v="1"/>
    <n v="0"/>
    <m/>
    <m/>
    <m/>
    <n v="2"/>
    <n v="0"/>
  </r>
  <r>
    <s v="Kyrgyzstan"/>
    <x v="1"/>
    <x v="2"/>
    <s v="Living Standards Survey"/>
    <x v="24"/>
    <n v="1"/>
    <n v="1"/>
    <s v="Kyrgyzstan"/>
    <m/>
    <m/>
    <n v="15"/>
    <n v="1"/>
  </r>
  <r>
    <s v="Kyrgyzstan"/>
    <x v="1"/>
    <x v="2"/>
    <s v="Living Standards Survey"/>
    <x v="5"/>
    <n v="1"/>
    <n v="0"/>
    <m/>
    <m/>
    <m/>
    <n v="14"/>
    <n v="0"/>
  </r>
  <r>
    <s v="Kyrgyzstan"/>
    <x v="1"/>
    <x v="2"/>
    <s v="Living Standards Survey"/>
    <x v="20"/>
    <n v="1"/>
    <n v="0"/>
    <m/>
    <m/>
    <m/>
    <n v="11"/>
    <n v="0"/>
  </r>
  <r>
    <s v="Kyrgyzstan"/>
    <x v="1"/>
    <x v="1"/>
    <n v="3"/>
    <x v="11"/>
    <n v="1"/>
    <n v="1"/>
    <s v="Kyrgyzstan"/>
    <m/>
    <n v="2005"/>
    <n v="9"/>
    <n v="0"/>
  </r>
  <r>
    <s v="Kyrgyzstan"/>
    <x v="1"/>
    <x v="2"/>
    <s v="Living Standards Survey"/>
    <x v="17"/>
    <n v="1"/>
    <n v="0"/>
    <m/>
    <m/>
    <m/>
    <n v="12"/>
    <n v="0"/>
  </r>
  <r>
    <s v="Lao People's Democratic Republic"/>
    <x v="6"/>
    <x v="0"/>
    <s v="DHS 4, Standard"/>
    <x v="3"/>
    <n v="1"/>
    <n v="1"/>
    <s v="Lao People's Democratic Republic"/>
    <m/>
    <m/>
    <n v="2"/>
    <n v="0"/>
  </r>
  <r>
    <s v="Lao People's Democratic Republic"/>
    <x v="6"/>
    <x v="1"/>
    <n v="2"/>
    <x v="1"/>
    <n v="1"/>
    <n v="1"/>
    <s v="Lao People's Democratic Republic"/>
    <m/>
    <n v="2000"/>
    <n v="4"/>
    <n v="1"/>
  </r>
  <r>
    <s v="Lao People's Democratic Republic"/>
    <x v="6"/>
    <x v="1"/>
    <n v="3"/>
    <x v="11"/>
    <n v="1"/>
    <n v="0"/>
    <s v=""/>
    <m/>
    <n v="2006"/>
    <n v="3"/>
    <n v="0"/>
  </r>
  <r>
    <s v="Lao People's Democratic Republic"/>
    <x v="6"/>
    <x v="1"/>
    <n v="4"/>
    <x v="9"/>
    <n v="1"/>
    <n v="0"/>
    <s v=""/>
    <m/>
    <n v="2011"/>
    <n v="1"/>
    <n v="0"/>
  </r>
  <r>
    <s v="Lebanon"/>
    <x v="2"/>
    <x v="1"/>
    <n v="2"/>
    <x v="1"/>
    <n v="1"/>
    <n v="1"/>
    <s v="Lebanon"/>
    <m/>
    <n v="2000"/>
    <n v="4"/>
    <n v="1"/>
  </r>
  <r>
    <s v="Lebanon"/>
    <x v="2"/>
    <x v="1"/>
    <n v="3"/>
    <x v="11"/>
    <n v="1"/>
    <n v="0"/>
    <s v=""/>
    <s v="Palestinians"/>
    <n v="2006"/>
    <n v="2"/>
    <n v="0"/>
  </r>
  <r>
    <s v="Lebanon"/>
    <x v="2"/>
    <x v="1"/>
    <n v="4"/>
    <x v="3"/>
    <n v="1"/>
    <n v="0"/>
    <s v=""/>
    <s v="Palestinians"/>
    <n v="2011"/>
    <n v="1"/>
    <n v="0"/>
  </r>
  <r>
    <s v="Lebanon"/>
    <x v="2"/>
    <x v="3"/>
    <s v="Lebanese Family Health Survey (LFHS)"/>
    <x v="6"/>
    <n v="1"/>
    <n v="1"/>
    <s v="Lebanon"/>
    <m/>
    <n v="2002"/>
    <n v="3"/>
    <n v="0"/>
  </r>
  <r>
    <s v="Lesotho"/>
    <x v="3"/>
    <x v="0"/>
    <s v="DHS 4, Standard"/>
    <x v="7"/>
    <n v="1"/>
    <n v="1"/>
    <s v="Lesotho"/>
    <m/>
    <m/>
    <n v="2"/>
    <n v="0"/>
  </r>
  <r>
    <s v="Lesotho"/>
    <x v="3"/>
    <x v="0"/>
    <s v="DHS 4, Standard"/>
    <x v="15"/>
    <n v="1"/>
    <n v="0"/>
    <m/>
    <m/>
    <m/>
    <n v="1"/>
    <n v="0"/>
  </r>
  <r>
    <s v="Lesotho"/>
    <x v="3"/>
    <x v="1"/>
    <n v="2"/>
    <x v="1"/>
    <n v="1"/>
    <n v="1"/>
    <s v="Lesotho"/>
    <m/>
    <n v="2000"/>
    <n v="3"/>
    <n v="1"/>
  </r>
  <r>
    <s v="Lesotho"/>
    <x v="3"/>
    <x v="4"/>
    <s v="CWIQ"/>
    <x v="6"/>
    <n v="1"/>
    <n v="1"/>
    <s v="Lesotho"/>
    <m/>
    <m/>
    <n v="4"/>
    <n v="0"/>
  </r>
  <r>
    <s v="Liberia"/>
    <x v="8"/>
    <x v="4"/>
    <s v="CWIQ"/>
    <x v="14"/>
    <n v="1"/>
    <n v="1"/>
    <s v="Liberia"/>
    <m/>
    <m/>
    <n v="6"/>
    <n v="0"/>
  </r>
  <r>
    <s v="Liberia"/>
    <x v="8"/>
    <x v="4"/>
    <s v="CWIQ"/>
    <x v="0"/>
    <n v="1"/>
    <n v="0"/>
    <m/>
    <m/>
    <m/>
    <n v="3"/>
    <n v="0"/>
  </r>
  <r>
    <s v="Liberia"/>
    <x v="8"/>
    <x v="0"/>
    <s v="DHS 4, Standard"/>
    <x v="22"/>
    <n v="1"/>
    <n v="1"/>
    <s v="Liberia"/>
    <m/>
    <m/>
    <n v="8"/>
    <n v="1"/>
  </r>
  <r>
    <s v="Liberia"/>
    <x v="8"/>
    <x v="0"/>
    <s v="DHS 4, Special"/>
    <x v="14"/>
    <n v="1"/>
    <n v="0"/>
    <m/>
    <m/>
    <m/>
    <n v="5"/>
    <n v="0"/>
  </r>
  <r>
    <s v="Liberia"/>
    <x v="8"/>
    <x v="0"/>
    <s v="DHS 4, Standard"/>
    <x v="15"/>
    <n v="1"/>
    <n v="0"/>
    <m/>
    <m/>
    <m/>
    <n v="4"/>
    <n v="0"/>
  </r>
  <r>
    <s v="Liberia"/>
    <x v="8"/>
    <x v="0"/>
    <s v="DHS 4, Standard"/>
    <x v="3"/>
    <n v="1"/>
    <n v="0"/>
    <s v=""/>
    <m/>
    <m/>
    <n v="2"/>
    <n v="0"/>
  </r>
  <r>
    <s v="Liberia"/>
    <x v="8"/>
    <x v="0"/>
    <s v="DHS 4, Interim"/>
    <x v="18"/>
    <n v="1"/>
    <n v="0"/>
    <m/>
    <m/>
    <m/>
    <n v="1"/>
    <n v="0"/>
  </r>
  <r>
    <s v="Liberia"/>
    <x v="8"/>
    <x v="1"/>
    <n v="1"/>
    <x v="10"/>
    <n v="1"/>
    <n v="1"/>
    <s v="Liberia"/>
    <m/>
    <n v="1995"/>
    <n v="7"/>
    <n v="0"/>
  </r>
  <r>
    <s v="Lybia"/>
    <x v="2"/>
    <x v="3"/>
    <s v="National Libyan Family Health Survey"/>
    <x v="6"/>
    <n v="1"/>
    <n v="1"/>
    <s v="Lybia"/>
    <m/>
    <m/>
    <n v="1"/>
    <n v="1"/>
  </r>
  <r>
    <s v="Macedonia"/>
    <x v="1"/>
    <x v="1"/>
    <n v="3"/>
    <x v="8"/>
    <n v="1"/>
    <n v="1"/>
    <s v="Macedonia"/>
    <m/>
    <n v="2005"/>
    <n v="3"/>
    <n v="1"/>
  </r>
  <r>
    <s v="Macedonia"/>
    <x v="1"/>
    <x v="1"/>
    <n v="4"/>
    <x v="3"/>
    <n v="1"/>
    <n v="0"/>
    <s v=""/>
    <m/>
    <n v="2011"/>
    <n v="2"/>
    <n v="0"/>
  </r>
  <r>
    <s v="Macedonia"/>
    <x v="1"/>
    <x v="1"/>
    <n v="4"/>
    <x v="3"/>
    <n v="1"/>
    <n v="0"/>
    <s v=""/>
    <s v="Roman settlements"/>
    <n v="2011"/>
    <n v="1"/>
    <n v="0"/>
  </r>
  <r>
    <s v="Madagascar"/>
    <x v="3"/>
    <x v="0"/>
    <s v="DHS 4, Standard"/>
    <x v="17"/>
    <n v="1"/>
    <n v="0"/>
    <m/>
    <m/>
    <m/>
    <n v="7"/>
    <n v="0"/>
  </r>
  <r>
    <s v="Madagascar"/>
    <x v="3"/>
    <x v="0"/>
    <s v="DHS Other, Special"/>
    <x v="28"/>
    <n v="1"/>
    <n v="1"/>
    <s v="Madagascar"/>
    <m/>
    <m/>
    <n v="8"/>
    <n v="1"/>
  </r>
  <r>
    <s v="Madagascar"/>
    <x v="3"/>
    <x v="0"/>
    <s v="DHS 4, Standard"/>
    <x v="7"/>
    <n v="1"/>
    <n v="0"/>
    <m/>
    <m/>
    <m/>
    <n v="5"/>
    <n v="0"/>
  </r>
  <r>
    <s v="Madagascar"/>
    <x v="3"/>
    <x v="0"/>
    <s v="DHS 4, Standard"/>
    <x v="4"/>
    <n v="1"/>
    <n v="0"/>
    <m/>
    <m/>
    <m/>
    <n v="4"/>
    <n v="0"/>
  </r>
  <r>
    <s v="Madagascar"/>
    <x v="3"/>
    <x v="0"/>
    <s v="DHS 4, Standard"/>
    <x v="3"/>
    <n v="1"/>
    <n v="0"/>
    <m/>
    <m/>
    <m/>
    <n v="3"/>
    <n v="0"/>
  </r>
  <r>
    <s v="Madagascar"/>
    <x v="3"/>
    <x v="0"/>
    <s v="DHS 4, Standard"/>
    <x v="18"/>
    <n v="1"/>
    <n v="0"/>
    <m/>
    <m/>
    <m/>
    <n v="1"/>
    <n v="0"/>
  </r>
  <r>
    <s v="Madagascar"/>
    <x v="3"/>
    <x v="1"/>
    <n v="2"/>
    <x v="1"/>
    <n v="1"/>
    <n v="1"/>
    <s v="Madagascar"/>
    <m/>
    <n v="2000"/>
    <n v="6"/>
    <n v="0"/>
  </r>
  <r>
    <s v="Madagascar"/>
    <x v="3"/>
    <x v="1"/>
    <n v="4"/>
    <x v="9"/>
    <n v="1"/>
    <n v="0"/>
    <m/>
    <m/>
    <m/>
    <n v="2"/>
    <n v="0"/>
  </r>
  <r>
    <s v="Malawi"/>
    <x v="3"/>
    <x v="4"/>
    <s v="CWIQ"/>
    <x v="6"/>
    <n v="1"/>
    <n v="1"/>
    <s v="Malawi"/>
    <m/>
    <m/>
    <n v="15"/>
    <n v="0"/>
  </r>
  <r>
    <s v="Malawi"/>
    <x v="3"/>
    <x v="4"/>
    <s v="Welfare Monitoring Survey:CWIQ"/>
    <x v="8"/>
    <n v="1"/>
    <n v="0"/>
    <m/>
    <m/>
    <m/>
    <n v="12"/>
    <n v="0"/>
  </r>
  <r>
    <s v="Malawi"/>
    <x v="3"/>
    <x v="4"/>
    <s v="Welfare Monitoring Survey:CWIQ"/>
    <x v="11"/>
    <n v="1"/>
    <n v="0"/>
    <m/>
    <m/>
    <m/>
    <n v="11"/>
    <n v="0"/>
  </r>
  <r>
    <s v="Malawi"/>
    <x v="3"/>
    <x v="4"/>
    <s v="Welfare Monitoring Survey:CWIQ"/>
    <x v="14"/>
    <n v="1"/>
    <n v="0"/>
    <m/>
    <m/>
    <m/>
    <n v="9"/>
    <n v="0"/>
  </r>
  <r>
    <s v="Malawi"/>
    <x v="3"/>
    <x v="4"/>
    <s v="Welfare Monitoring Survey:CWIQ"/>
    <x v="4"/>
    <n v="1"/>
    <n v="0"/>
    <m/>
    <m/>
    <m/>
    <n v="8"/>
    <n v="0"/>
  </r>
  <r>
    <s v="Malawi"/>
    <x v="3"/>
    <x v="4"/>
    <s v="Welfare Monitoring Survey:CWIQ"/>
    <x v="15"/>
    <n v="1"/>
    <n v="0"/>
    <m/>
    <m/>
    <m/>
    <n v="7"/>
    <n v="0"/>
  </r>
  <r>
    <s v="Malawi"/>
    <x v="3"/>
    <x v="4"/>
    <s v="Welfare Monitoring Survey:CWIQ"/>
    <x v="9"/>
    <n v="1"/>
    <n v="0"/>
    <m/>
    <m/>
    <n v="2011"/>
    <n v="6"/>
    <n v="0"/>
  </r>
  <r>
    <s v="Malawi"/>
    <x v="3"/>
    <x v="0"/>
    <s v="DHS 4, Standard AIS"/>
    <x v="28"/>
    <n v="1"/>
    <n v="1"/>
    <s v="Malawi"/>
    <m/>
    <m/>
    <n v="20"/>
    <n v="1"/>
  </r>
  <r>
    <s v="Malawi"/>
    <x v="3"/>
    <x v="0"/>
    <s v="DHS 4, Standard"/>
    <x v="5"/>
    <n v="1"/>
    <n v="0"/>
    <m/>
    <m/>
    <m/>
    <n v="17"/>
    <n v="0"/>
  </r>
  <r>
    <s v="Malawi"/>
    <x v="3"/>
    <x v="0"/>
    <s v="DHS 4, Standard"/>
    <x v="1"/>
    <n v="1"/>
    <n v="0"/>
    <m/>
    <m/>
    <m/>
    <n v="16"/>
    <n v="0"/>
  </r>
  <r>
    <s v="Malawi"/>
    <x v="3"/>
    <x v="0"/>
    <s v="DHS 4, Standard"/>
    <x v="7"/>
    <n v="1"/>
    <n v="0"/>
    <m/>
    <m/>
    <m/>
    <n v="14"/>
    <n v="0"/>
  </r>
  <r>
    <s v="Malawi"/>
    <x v="3"/>
    <x v="0"/>
    <s v="DHS 4, Standard"/>
    <x v="0"/>
    <n v="1"/>
    <n v="0"/>
    <m/>
    <m/>
    <m/>
    <n v="5"/>
    <n v="0"/>
  </r>
  <r>
    <s v="Malawi"/>
    <x v="3"/>
    <x v="0"/>
    <s v="DHS 5, MCH SPA"/>
    <x v="9"/>
    <n v="1"/>
    <n v="0"/>
    <m/>
    <m/>
    <m/>
    <n v="3"/>
    <n v="0"/>
  </r>
  <r>
    <s v="Malawi"/>
    <x v="3"/>
    <x v="0"/>
    <s v="DHS 5, HIV SPA"/>
    <x v="18"/>
    <n v="1"/>
    <n v="0"/>
    <m/>
    <m/>
    <m/>
    <n v="2"/>
    <n v="0"/>
  </r>
  <r>
    <s v="Malawi"/>
    <x v="3"/>
    <x v="5"/>
    <s v="IS"/>
    <x v="20"/>
    <n v="1"/>
    <n v="1"/>
    <s v="Malawi"/>
    <m/>
    <n v="1997"/>
    <n v="18"/>
    <n v="0"/>
  </r>
  <r>
    <s v="Malawi"/>
    <x v="3"/>
    <x v="2"/>
    <s v="Second Integrated Household Survey"/>
    <x v="7"/>
    <n v="1"/>
    <n v="1"/>
    <s v="Malawi"/>
    <m/>
    <m/>
    <n v="13"/>
    <n v="0"/>
  </r>
  <r>
    <s v="Malawi"/>
    <x v="3"/>
    <x v="2"/>
    <s v="Third Integrated Household Survey"/>
    <x v="0"/>
    <n v="1"/>
    <n v="0"/>
    <m/>
    <m/>
    <m/>
    <n v="4"/>
    <n v="0"/>
  </r>
  <r>
    <s v="Malawi"/>
    <x v="3"/>
    <x v="1"/>
    <n v="1"/>
    <x v="10"/>
    <n v="1"/>
    <n v="1"/>
    <s v="Malawi"/>
    <m/>
    <n v="1995"/>
    <n v="19"/>
    <n v="0"/>
  </r>
  <r>
    <s v="Malawi"/>
    <x v="3"/>
    <x v="1"/>
    <n v="3"/>
    <x v="11"/>
    <n v="1"/>
    <n v="0"/>
    <s v=""/>
    <m/>
    <n v="2006"/>
    <n v="10"/>
    <n v="0"/>
  </r>
  <r>
    <s v="Malawi"/>
    <x v="3"/>
    <x v="1"/>
    <n v="5"/>
    <x v="29"/>
    <n v="1"/>
    <n v="0"/>
    <m/>
    <m/>
    <n v="2013"/>
    <n v="1"/>
    <n v="0"/>
  </r>
  <r>
    <s v="Maldives"/>
    <x v="0"/>
    <x v="0"/>
    <s v="DHS 5, HIV SPA"/>
    <x v="15"/>
    <n v="1"/>
    <n v="1"/>
    <s v="Maldives"/>
    <m/>
    <m/>
    <n v="1"/>
    <n v="0"/>
  </r>
  <r>
    <s v="Maldives"/>
    <x v="0"/>
    <x v="1"/>
    <n v="2"/>
    <x v="12"/>
    <n v="1"/>
    <n v="1"/>
    <s v="Maldives"/>
    <m/>
    <n v="2001"/>
    <n v="2"/>
    <n v="1"/>
  </r>
  <r>
    <s v="Mali"/>
    <x v="3"/>
    <x v="4"/>
    <s v="Welfare Monitoring Survey:CWIQ"/>
    <x v="14"/>
    <n v="1"/>
    <n v="1"/>
    <s v="Mali"/>
    <m/>
    <n v="2006"/>
    <n v="2"/>
    <n v="0"/>
  </r>
  <r>
    <s v="Mali"/>
    <x v="3"/>
    <x v="0"/>
    <s v="DHS 4, Standard"/>
    <x v="25"/>
    <n v="1"/>
    <n v="1"/>
    <s v="Mali"/>
    <m/>
    <m/>
    <n v="7"/>
    <n v="1"/>
  </r>
  <r>
    <s v="Mali"/>
    <x v="3"/>
    <x v="0"/>
    <s v="DHS 4, Standard"/>
    <x v="5"/>
    <n v="1"/>
    <n v="0"/>
    <m/>
    <m/>
    <m/>
    <n v="6"/>
    <n v="0"/>
  </r>
  <r>
    <s v="Mali"/>
    <x v="3"/>
    <x v="0"/>
    <s v="DHS 4, Standard"/>
    <x v="12"/>
    <n v="1"/>
    <n v="0"/>
    <m/>
    <m/>
    <m/>
    <n v="5"/>
    <n v="0"/>
  </r>
  <r>
    <s v="Mali"/>
    <x v="3"/>
    <x v="0"/>
    <s v="DHS 5, Continuous"/>
    <x v="11"/>
    <n v="1"/>
    <n v="0"/>
    <m/>
    <m/>
    <m/>
    <n v="4"/>
    <n v="0"/>
  </r>
  <r>
    <s v="Mali"/>
    <x v="3"/>
    <x v="0"/>
    <s v="DHS 4, Standard"/>
    <x v="0"/>
    <n v="1"/>
    <n v="0"/>
    <m/>
    <m/>
    <m/>
    <n v="3"/>
    <n v="0"/>
  </r>
  <r>
    <s v="Mali"/>
    <x v="3"/>
    <x v="0"/>
    <s v="DHS 5, Standard AIS"/>
    <x v="9"/>
    <n v="1"/>
    <n v="0"/>
    <m/>
    <m/>
    <m/>
    <n v="1"/>
    <n v="0"/>
  </r>
  <r>
    <s v="Mauritania"/>
    <x v="3"/>
    <x v="4"/>
    <s v="Enquête Permanente sur les Conditions de Vie des Ménages:CWIQ"/>
    <x v="7"/>
    <n v="1"/>
    <n v="1"/>
    <s v="Mauritania"/>
    <m/>
    <m/>
    <n v="3"/>
    <n v="0"/>
  </r>
  <r>
    <s v="Mauritania"/>
    <x v="3"/>
    <x v="0"/>
    <s v="DHS 5, Standard"/>
    <x v="1"/>
    <n v="1"/>
    <n v="1"/>
    <s v="Mauritania"/>
    <m/>
    <m/>
    <n v="5"/>
    <n v="1"/>
  </r>
  <r>
    <s v="Mauritania"/>
    <x v="3"/>
    <x v="0"/>
    <s v="DHS 5, Standard"/>
    <x v="2"/>
    <n v="1"/>
    <n v="0"/>
    <m/>
    <m/>
    <m/>
    <n v="4"/>
    <n v="0"/>
  </r>
  <r>
    <s v="Mauritania"/>
    <x v="3"/>
    <x v="1"/>
    <n v="3"/>
    <x v="14"/>
    <n v="1"/>
    <n v="1"/>
    <s v="Mauritania"/>
    <m/>
    <n v="2007"/>
    <n v="2"/>
    <n v="0"/>
  </r>
  <r>
    <s v="Mauritania"/>
    <x v="3"/>
    <x v="1"/>
    <n v="4"/>
    <x v="3"/>
    <n v="1"/>
    <n v="0"/>
    <m/>
    <m/>
    <n v="2011"/>
    <n v="1"/>
    <n v="0"/>
  </r>
  <r>
    <s v="Mexico"/>
    <x v="4"/>
    <x v="0"/>
    <s v="DHS 4, Standard"/>
    <x v="25"/>
    <n v="1"/>
    <n v="1"/>
    <s v="Mexico"/>
    <m/>
    <m/>
    <n v="1"/>
    <n v="1"/>
  </r>
  <r>
    <s v="Moldova"/>
    <x v="1"/>
    <x v="0"/>
    <s v="DHS 5, Standard"/>
    <x v="8"/>
    <n v="1"/>
    <n v="1"/>
    <s v="Moldova"/>
    <m/>
    <m/>
    <n v="3"/>
    <n v="0"/>
  </r>
  <r>
    <s v="Moldova"/>
    <x v="1"/>
    <x v="1"/>
    <n v="2"/>
    <x v="1"/>
    <n v="1"/>
    <n v="1"/>
    <s v="Moldova"/>
    <m/>
    <n v="2000"/>
    <n v="4"/>
    <n v="1"/>
  </r>
  <r>
    <s v="Moldova"/>
    <x v="1"/>
    <x v="1"/>
    <n v="4"/>
    <x v="9"/>
    <n v="1"/>
    <n v="0"/>
    <m/>
    <m/>
    <m/>
    <n v="2"/>
    <n v="0"/>
  </r>
  <r>
    <s v="Moldova"/>
    <x v="1"/>
    <x v="1"/>
    <n v="5"/>
    <x v="18"/>
    <n v="1"/>
    <n v="0"/>
    <m/>
    <m/>
    <m/>
    <n v="1"/>
    <n v="0"/>
  </r>
  <r>
    <s v="Mongolia"/>
    <x v="6"/>
    <x v="2"/>
    <s v="Integrated Household Income and Expenditure Survey with Living Standards Measurement Survey"/>
    <x v="2"/>
    <n v="1"/>
    <n v="1"/>
    <s v="Mongolia"/>
    <m/>
    <n v="2002"/>
    <n v="4"/>
    <n v="1"/>
  </r>
  <r>
    <s v="Mongolia"/>
    <x v="6"/>
    <x v="1"/>
    <n v="2"/>
    <x v="1"/>
    <n v="1"/>
    <n v="1"/>
    <s v="Mongolia"/>
    <m/>
    <m/>
    <n v="7"/>
    <n v="0"/>
  </r>
  <r>
    <s v="Mongolia"/>
    <x v="6"/>
    <x v="1"/>
    <n v="3"/>
    <x v="8"/>
    <n v="1"/>
    <n v="0"/>
    <s v=""/>
    <m/>
    <n v="2005"/>
    <n v="3"/>
    <n v="0"/>
  </r>
  <r>
    <s v="Mongolia"/>
    <x v="6"/>
    <x v="1"/>
    <n v="4"/>
    <x v="0"/>
    <n v="1"/>
    <n v="0"/>
    <s v=""/>
    <m/>
    <n v="2010"/>
    <n v="2"/>
    <n v="0"/>
  </r>
  <r>
    <s v="Mongolia"/>
    <x v="6"/>
    <x v="1"/>
    <n v="4"/>
    <x v="9"/>
    <n v="1"/>
    <n v="0"/>
    <m/>
    <m/>
    <m/>
    <n v="5"/>
    <n v="0"/>
  </r>
  <r>
    <s v="Mongolia"/>
    <x v="6"/>
    <x v="1"/>
    <n v="4"/>
    <x v="9"/>
    <n v="1"/>
    <n v="0"/>
    <m/>
    <m/>
    <m/>
    <n v="6"/>
    <n v="0"/>
  </r>
  <r>
    <s v="Mongolia"/>
    <x v="6"/>
    <x v="1"/>
    <n v="5"/>
    <x v="18"/>
    <n v="1"/>
    <n v="0"/>
    <m/>
    <m/>
    <m/>
    <n v="1"/>
    <n v="0"/>
  </r>
  <r>
    <s v="Montenegro"/>
    <x v="1"/>
    <x v="1"/>
    <n v="3"/>
    <x v="11"/>
    <n v="1"/>
    <n v="1"/>
    <s v="Montenegro"/>
    <m/>
    <n v="2005"/>
    <n v="3"/>
    <n v="1"/>
  </r>
  <r>
    <s v="Montenegro"/>
    <x v="1"/>
    <x v="1"/>
    <n v="5"/>
    <x v="18"/>
    <n v="1"/>
    <n v="0"/>
    <m/>
    <m/>
    <m/>
    <n v="2"/>
    <n v="0"/>
  </r>
  <r>
    <s v="Montenegro"/>
    <x v="1"/>
    <x v="1"/>
    <n v="5"/>
    <x v="18"/>
    <n v="1"/>
    <n v="0"/>
    <m/>
    <m/>
    <m/>
    <n v="1"/>
    <n v="0"/>
  </r>
  <r>
    <s v="Morocco"/>
    <x v="2"/>
    <x v="0"/>
    <s v="DHS 5, Standard"/>
    <x v="25"/>
    <n v="1"/>
    <n v="1"/>
    <s v="Morocco"/>
    <m/>
    <m/>
    <n v="6"/>
    <n v="1"/>
  </r>
  <r>
    <s v="Morocco"/>
    <x v="2"/>
    <x v="0"/>
    <s v="DHS 5, Standard AIS"/>
    <x v="28"/>
    <n v="1"/>
    <n v="0"/>
    <m/>
    <m/>
    <m/>
    <n v="4"/>
    <n v="0"/>
  </r>
  <r>
    <s v="Morocco"/>
    <x v="2"/>
    <x v="0"/>
    <s v="DHS 5, Standard"/>
    <x v="10"/>
    <n v="1"/>
    <n v="0"/>
    <m/>
    <m/>
    <m/>
    <n v="3"/>
    <n v="0"/>
  </r>
  <r>
    <s v="Morocco"/>
    <x v="2"/>
    <x v="0"/>
    <s v="DHS 5, Standard"/>
    <x v="2"/>
    <n v="1"/>
    <n v="0"/>
    <m/>
    <m/>
    <m/>
    <n v="2"/>
    <n v="0"/>
  </r>
  <r>
    <s v="Morocco"/>
    <x v="2"/>
    <x v="2"/>
    <s v="Enquête Nationale sur le Niveau de Vie des Ménages..."/>
    <x v="23"/>
    <n v="1"/>
    <n v="1"/>
    <s v="Morocco"/>
    <m/>
    <m/>
    <n v="5"/>
    <n v="0"/>
  </r>
  <r>
    <s v="Morocco"/>
    <x v="2"/>
    <x v="3"/>
    <s v="Moroccan Population Family Health Survey (MPFHS)"/>
    <x v="7"/>
    <n v="1"/>
    <n v="1"/>
    <s v="Morocco"/>
    <m/>
    <n v="2003"/>
    <n v="1"/>
    <n v="0"/>
  </r>
  <r>
    <s v="Mozambique"/>
    <x v="3"/>
    <x v="0"/>
    <s v="DHS 5, Standard"/>
    <x v="17"/>
    <n v="1"/>
    <n v="1"/>
    <s v="Mozambique"/>
    <m/>
    <m/>
    <n v="6"/>
    <n v="0"/>
  </r>
  <r>
    <s v="Mozambique"/>
    <x v="3"/>
    <x v="4"/>
    <s v="CWIQ"/>
    <x v="12"/>
    <n v="1"/>
    <n v="1"/>
    <s v="Mozambique"/>
    <m/>
    <n v="2000"/>
    <n v="5"/>
    <n v="0"/>
  </r>
  <r>
    <s v="Mozambique"/>
    <x v="3"/>
    <x v="0"/>
    <s v="DHS 5, Standard AIS"/>
    <x v="2"/>
    <n v="1"/>
    <n v="0"/>
    <m/>
    <m/>
    <m/>
    <n v="4"/>
    <n v="0"/>
  </r>
  <r>
    <s v="Mozambique"/>
    <x v="3"/>
    <x v="0"/>
    <s v="DHS 5, Standard"/>
    <x v="15"/>
    <n v="1"/>
    <n v="0"/>
    <m/>
    <m/>
    <m/>
    <n v="2"/>
    <n v="0"/>
  </r>
  <r>
    <s v="Mozambique"/>
    <x v="3"/>
    <x v="0"/>
    <s v="DHS 5, Standard"/>
    <x v="3"/>
    <n v="1"/>
    <n v="0"/>
    <m/>
    <m/>
    <m/>
    <n v="1"/>
    <n v="0"/>
  </r>
  <r>
    <s v="Mozambique"/>
    <x v="3"/>
    <x v="1"/>
    <n v="1"/>
    <x v="10"/>
    <n v="1"/>
    <n v="1"/>
    <s v="Mozambique"/>
    <m/>
    <n v="1995"/>
    <n v="6"/>
    <n v="1"/>
  </r>
  <r>
    <s v="Mozambique"/>
    <x v="3"/>
    <x v="1"/>
    <n v="3"/>
    <x v="4"/>
    <n v="1"/>
    <n v="0"/>
    <s v=""/>
    <m/>
    <n v="2008"/>
    <n v="3"/>
    <n v="0"/>
  </r>
  <r>
    <s v="Myanmar"/>
    <x v="6"/>
    <x v="1"/>
    <n v="1"/>
    <x v="10"/>
    <n v="1"/>
    <n v="1"/>
    <s v="Myanmar"/>
    <m/>
    <n v="1995"/>
    <n v="3"/>
    <n v="1"/>
  </r>
  <r>
    <s v="Myanmar"/>
    <x v="6"/>
    <x v="1"/>
    <n v="2"/>
    <x v="1"/>
    <n v="1"/>
    <n v="0"/>
    <s v=""/>
    <m/>
    <n v="2000"/>
    <n v="2"/>
    <n v="0"/>
  </r>
  <r>
    <s v="Myanmar"/>
    <x v="6"/>
    <x v="1"/>
    <n v="3"/>
    <x v="0"/>
    <n v="1"/>
    <n v="0"/>
    <s v=""/>
    <m/>
    <n v="2009"/>
    <n v="1"/>
    <n v="0"/>
  </r>
  <r>
    <s v="Namibia"/>
    <x v="3"/>
    <x v="0"/>
    <s v="DHS 5, Standard"/>
    <x v="28"/>
    <n v="1"/>
    <n v="1"/>
    <s v="Namibia"/>
    <m/>
    <m/>
    <n v="5"/>
    <n v="1"/>
  </r>
  <r>
    <s v="Namibia"/>
    <x v="3"/>
    <x v="0"/>
    <s v="DHS 5, Standard"/>
    <x v="1"/>
    <n v="1"/>
    <n v="0"/>
    <m/>
    <m/>
    <m/>
    <n v="4"/>
    <n v="0"/>
  </r>
  <r>
    <s v="Namibia"/>
    <x v="3"/>
    <x v="0"/>
    <s v="DHS 4, Standard"/>
    <x v="11"/>
    <n v="1"/>
    <n v="0"/>
    <m/>
    <m/>
    <m/>
    <n v="3"/>
    <n v="0"/>
  </r>
  <r>
    <s v="Namibia"/>
    <x v="3"/>
    <x v="0"/>
    <s v="DHS 5, Standard AIS"/>
    <x v="15"/>
    <n v="1"/>
    <n v="0"/>
    <m/>
    <m/>
    <m/>
    <n v="2"/>
    <n v="0"/>
  </r>
  <r>
    <s v="Namibia"/>
    <x v="3"/>
    <x v="0"/>
    <s v="DHS 5, HIV SPA"/>
    <x v="18"/>
    <n v="1"/>
    <n v="0"/>
    <m/>
    <m/>
    <m/>
    <n v="1"/>
    <n v="0"/>
  </r>
  <r>
    <s v="Nepal"/>
    <x v="0"/>
    <x v="0"/>
    <s v="DHS 5, Standard"/>
    <x v="25"/>
    <n v="1"/>
    <n v="1"/>
    <s v="Nepal"/>
    <m/>
    <m/>
    <n v="9"/>
    <n v="1"/>
  </r>
  <r>
    <s v="Nepal"/>
    <x v="0"/>
    <x v="0"/>
    <s v="DHS 5, Malaria Indicator Survey"/>
    <x v="5"/>
    <n v="1"/>
    <n v="0"/>
    <m/>
    <m/>
    <m/>
    <n v="8"/>
    <n v="0"/>
  </r>
  <r>
    <s v="Nepal"/>
    <x v="0"/>
    <x v="0"/>
    <s v="DHS 5, Standard"/>
    <x v="12"/>
    <n v="1"/>
    <n v="0"/>
    <m/>
    <m/>
    <m/>
    <n v="6"/>
    <n v="0"/>
  </r>
  <r>
    <s v="Nepal"/>
    <x v="0"/>
    <x v="0"/>
    <s v="DHS 5, Standard"/>
    <x v="11"/>
    <n v="1"/>
    <n v="0"/>
    <m/>
    <m/>
    <m/>
    <n v="4"/>
    <n v="0"/>
  </r>
  <r>
    <s v="Nepal"/>
    <x v="0"/>
    <x v="0"/>
    <s v="DHS 5, Standard"/>
    <x v="3"/>
    <n v="1"/>
    <n v="0"/>
    <m/>
    <m/>
    <m/>
    <n v="1"/>
    <n v="0"/>
  </r>
  <r>
    <s v="Nepal"/>
    <x v="0"/>
    <x v="2"/>
    <s v="Living Standards Survey"/>
    <x v="5"/>
    <n v="1"/>
    <n v="1"/>
    <s v="Nepal"/>
    <m/>
    <m/>
    <n v="7"/>
    <n v="0"/>
  </r>
  <r>
    <s v="Nepal"/>
    <x v="0"/>
    <x v="2"/>
    <s v="Living Standards Survey"/>
    <x v="2"/>
    <n v="1"/>
    <n v="0"/>
    <m/>
    <m/>
    <m/>
    <n v="5"/>
    <n v="0"/>
  </r>
  <r>
    <s v="Nepal"/>
    <x v="0"/>
    <x v="2"/>
    <s v="Living Standards Survey"/>
    <x v="0"/>
    <n v="1"/>
    <n v="0"/>
    <m/>
    <m/>
    <m/>
    <n v="3"/>
    <n v="0"/>
  </r>
  <r>
    <s v="Nepal"/>
    <x v="0"/>
    <x v="1"/>
    <n v="4"/>
    <x v="0"/>
    <n v="1"/>
    <n v="1"/>
    <s v="Nepal"/>
    <s v="Mid and far Western regions"/>
    <n v="2010"/>
    <n v="2"/>
    <n v="0"/>
  </r>
  <r>
    <s v="Nicaragua"/>
    <x v="4"/>
    <x v="0"/>
    <s v="DHS 5, Standard"/>
    <x v="20"/>
    <n v="1"/>
    <n v="1"/>
    <s v="Nicaragua"/>
    <m/>
    <m/>
    <n v="8"/>
    <n v="0"/>
  </r>
  <r>
    <s v="Nicaragua"/>
    <x v="4"/>
    <x v="0"/>
    <s v="DHS 5, Standard"/>
    <x v="12"/>
    <n v="1"/>
    <n v="0"/>
    <m/>
    <m/>
    <m/>
    <n v="5"/>
    <n v="0"/>
  </r>
  <r>
    <s v="Nicaragua"/>
    <x v="4"/>
    <x v="0"/>
    <s v="DHS 5, Standard"/>
    <x v="11"/>
    <n v="1"/>
    <n v="0"/>
    <m/>
    <m/>
    <m/>
    <n v="2"/>
    <n v="0"/>
  </r>
  <r>
    <s v="Nicaragua"/>
    <x v="4"/>
    <x v="0"/>
    <s v="DHS 5, Standard"/>
    <x v="9"/>
    <n v="1"/>
    <n v="0"/>
    <m/>
    <m/>
    <n v="2011"/>
    <n v="1"/>
    <n v="0"/>
  </r>
  <r>
    <s v="Nicaragua"/>
    <x v="4"/>
    <x v="2"/>
    <s v="Encuesta Nacional de Hogares sobre Medición de Niv..."/>
    <x v="24"/>
    <n v="1"/>
    <n v="1"/>
    <s v="Nicaragua"/>
    <m/>
    <m/>
    <n v="9"/>
    <n v="1"/>
  </r>
  <r>
    <s v="Nicaragua"/>
    <x v="4"/>
    <x v="2"/>
    <s v="Encuesta Nacional de Hogares sobre Medición de Niv..."/>
    <x v="20"/>
    <n v="1"/>
    <n v="0"/>
    <m/>
    <m/>
    <m/>
    <n v="7"/>
    <n v="0"/>
  </r>
  <r>
    <s v="Nicaragua"/>
    <x v="4"/>
    <x v="2"/>
    <s v="Encuesta Nacional de Hogares sobre Medición de Niv..."/>
    <x v="13"/>
    <n v="1"/>
    <n v="0"/>
    <m/>
    <m/>
    <m/>
    <n v="6"/>
    <n v="0"/>
  </r>
  <r>
    <s v="Nicaragua"/>
    <x v="4"/>
    <x v="2"/>
    <s v="Encuesta Nacional de Hogares sobre Medición de Niv..."/>
    <x v="12"/>
    <n v="1"/>
    <n v="0"/>
    <m/>
    <m/>
    <m/>
    <n v="4"/>
    <n v="0"/>
  </r>
  <r>
    <s v="Nicaragua"/>
    <x v="4"/>
    <x v="2"/>
    <s v="Encuesta Nacional de Hogares sobre Medicion de Niv..."/>
    <x v="8"/>
    <n v="1"/>
    <n v="0"/>
    <m/>
    <m/>
    <m/>
    <n v="3"/>
    <n v="0"/>
  </r>
  <r>
    <s v="Niger"/>
    <x v="3"/>
    <x v="0"/>
    <s v="DHS 5, Standard"/>
    <x v="28"/>
    <n v="1"/>
    <n v="1"/>
    <s v="Niger"/>
    <m/>
    <m/>
    <n v="7"/>
    <n v="1"/>
  </r>
  <r>
    <s v="Niger"/>
    <x v="3"/>
    <x v="0"/>
    <s v="DHS 5, Standard"/>
    <x v="20"/>
    <n v="1"/>
    <n v="0"/>
    <m/>
    <m/>
    <m/>
    <n v="5"/>
    <n v="0"/>
  </r>
  <r>
    <s v="Niger"/>
    <x v="3"/>
    <x v="0"/>
    <s v="DHS 5, Standard"/>
    <x v="11"/>
    <n v="1"/>
    <n v="0"/>
    <m/>
    <m/>
    <m/>
    <n v="3"/>
    <n v="0"/>
  </r>
  <r>
    <s v="Niger"/>
    <x v="3"/>
    <x v="0"/>
    <s v="DHS 5, Malaria Indicator Survey"/>
    <x v="9"/>
    <n v="1"/>
    <n v="0"/>
    <m/>
    <m/>
    <m/>
    <n v="1"/>
    <n v="0"/>
  </r>
  <r>
    <s v="Niger"/>
    <x v="3"/>
    <x v="2"/>
    <s v="Enquête National sur les Conditions de Vie des Mén..."/>
    <x v="0"/>
    <n v="1"/>
    <n v="1"/>
    <s v="Niger"/>
    <m/>
    <m/>
    <n v="2"/>
    <n v="0"/>
  </r>
  <r>
    <s v="Niger"/>
    <x v="3"/>
    <x v="1"/>
    <n v="1"/>
    <x v="10"/>
    <n v="1"/>
    <n v="1"/>
    <s v="Niger"/>
    <m/>
    <n v="1995"/>
    <n v="6"/>
    <n v="0"/>
  </r>
  <r>
    <s v="Niger"/>
    <x v="3"/>
    <x v="1"/>
    <n v="2"/>
    <x v="1"/>
    <n v="1"/>
    <n v="0"/>
    <s v=""/>
    <m/>
    <n v="2000"/>
    <n v="4"/>
    <n v="0"/>
  </r>
  <r>
    <s v="Nigeria"/>
    <x v="3"/>
    <x v="4"/>
    <s v="CWIQ"/>
    <x v="11"/>
    <n v="1"/>
    <n v="1"/>
    <s v="Nigeria"/>
    <m/>
    <m/>
    <n v="8"/>
    <n v="0"/>
  </r>
  <r>
    <s v="Nigeria"/>
    <x v="3"/>
    <x v="0"/>
    <s v="DHS 4, Standard"/>
    <x v="22"/>
    <n v="1"/>
    <n v="1"/>
    <s v="Nigeria"/>
    <m/>
    <m/>
    <n v="12"/>
    <n v="1"/>
  </r>
  <r>
    <s v="Nigeria"/>
    <x v="3"/>
    <x v="0"/>
    <s v="DHS 5, Standard"/>
    <x v="26"/>
    <n v="1"/>
    <n v="0"/>
    <m/>
    <m/>
    <m/>
    <n v="11"/>
    <n v="0"/>
  </r>
  <r>
    <s v="Nigeria"/>
    <x v="3"/>
    <x v="0"/>
    <s v="DHS 5, MCH SPA"/>
    <x v="13"/>
    <n v="1"/>
    <n v="0"/>
    <m/>
    <m/>
    <m/>
    <n v="10"/>
    <n v="0"/>
  </r>
  <r>
    <s v="Nigeria"/>
    <x v="3"/>
    <x v="0"/>
    <s v="DHS 5, Standard"/>
    <x v="2"/>
    <n v="1"/>
    <n v="0"/>
    <m/>
    <m/>
    <m/>
    <n v="9"/>
    <n v="0"/>
  </r>
  <r>
    <s v="Nigeria"/>
    <x v="3"/>
    <x v="0"/>
    <s v="DHS 5, Standard"/>
    <x v="4"/>
    <n v="1"/>
    <n v="0"/>
    <m/>
    <m/>
    <m/>
    <n v="6"/>
    <n v="0"/>
  </r>
  <r>
    <s v="Nigeria"/>
    <x v="3"/>
    <x v="0"/>
    <s v="DHS 5, Standard"/>
    <x v="0"/>
    <n v="1"/>
    <n v="0"/>
    <m/>
    <m/>
    <m/>
    <n v="5"/>
    <n v="0"/>
  </r>
  <r>
    <s v="Nigeria"/>
    <x v="3"/>
    <x v="0"/>
    <s v="DHS 5, Special"/>
    <x v="18"/>
    <n v="1"/>
    <n v="0"/>
    <m/>
    <m/>
    <m/>
    <n v="1"/>
    <n v="0"/>
  </r>
  <r>
    <s v="Nigeria"/>
    <x v="3"/>
    <x v="2"/>
    <s v="Living Standards Survey"/>
    <x v="2"/>
    <n v="1"/>
    <n v="1"/>
    <s v="Nigeria"/>
    <m/>
    <m/>
    <n v="5"/>
    <n v="0"/>
  </r>
  <r>
    <s v="Nigeria"/>
    <x v="3"/>
    <x v="2"/>
    <s v="GHS Panel Survey"/>
    <x v="0"/>
    <n v="1"/>
    <n v="0"/>
    <s v=""/>
    <m/>
    <m/>
    <n v="4"/>
    <n v="0"/>
  </r>
  <r>
    <s v="Nigeria"/>
    <x v="3"/>
    <x v="2"/>
    <s v="GHS Panel Survey"/>
    <x v="18"/>
    <n v="1"/>
    <n v="0"/>
    <m/>
    <m/>
    <n v="2012"/>
    <n v="2"/>
    <n v="0"/>
  </r>
  <r>
    <s v="Nigeria"/>
    <x v="3"/>
    <x v="1"/>
    <n v="3"/>
    <x v="14"/>
    <n v="1"/>
    <n v="1"/>
    <s v="Nigeria"/>
    <m/>
    <n v="2007"/>
    <n v="7"/>
    <n v="0"/>
  </r>
  <r>
    <s v="Nigeria"/>
    <x v="3"/>
    <x v="1"/>
    <n v="4"/>
    <x v="3"/>
    <n v="1"/>
    <n v="0"/>
    <s v=""/>
    <m/>
    <n v="2011"/>
    <n v="3"/>
    <n v="0"/>
  </r>
  <r>
    <s v="Occupied Palestinian Territory"/>
    <x v="2"/>
    <x v="1"/>
    <n v="4"/>
    <x v="3"/>
    <n v="1"/>
    <n v="1"/>
    <s v="Occupied Palestinian Territory"/>
    <m/>
    <m/>
    <n v="1"/>
    <n v="0"/>
  </r>
  <r>
    <s v="Occupied Palestinian Territory"/>
    <x v="2"/>
    <x v="3"/>
    <s v="Palestinian Family Health Survey (PFHS)"/>
    <x v="14"/>
    <n v="1"/>
    <n v="1"/>
    <s v="Occupied Palestinian Territory"/>
    <m/>
    <n v="2006"/>
    <n v="2"/>
    <n v="1"/>
  </r>
  <r>
    <s v="Oman"/>
    <x v="2"/>
    <x v="1"/>
    <n v="5"/>
    <x v="29"/>
    <n v="1"/>
    <n v="1"/>
    <s v="Oman"/>
    <m/>
    <n v="2014"/>
    <n v="1"/>
    <n v="1"/>
  </r>
  <r>
    <s v="Pakistan"/>
    <x v="0"/>
    <x v="5"/>
    <s v="IS"/>
    <x v="17"/>
    <n v="1"/>
    <n v="0"/>
    <m/>
    <m/>
    <n v="1996"/>
    <n v="7"/>
    <n v="0"/>
  </r>
  <r>
    <s v="Pakistan"/>
    <x v="0"/>
    <x v="0"/>
    <s v="DHS 5, Standard"/>
    <x v="23"/>
    <n v="1"/>
    <n v="1"/>
    <s v="Pakistan"/>
    <m/>
    <m/>
    <n v="10"/>
    <n v="1"/>
  </r>
  <r>
    <s v="Pakistan"/>
    <x v="0"/>
    <x v="0"/>
    <s v="DHS 5, Special"/>
    <x v="11"/>
    <n v="1"/>
    <n v="0"/>
    <m/>
    <m/>
    <m/>
    <n v="4"/>
    <n v="0"/>
  </r>
  <r>
    <s v="Pakistan"/>
    <x v="0"/>
    <x v="0"/>
    <s v="DHS 1, Special"/>
    <x v="9"/>
    <n v="1"/>
    <n v="0"/>
    <m/>
    <m/>
    <m/>
    <n v="1"/>
    <n v="0"/>
  </r>
  <r>
    <s v="Pakistan"/>
    <x v="0"/>
    <x v="5"/>
    <s v="IS"/>
    <x v="5"/>
    <n v="1"/>
    <n v="1"/>
    <s v="Pakistan"/>
    <m/>
    <n v="1995"/>
    <n v="8"/>
    <n v="0"/>
  </r>
  <r>
    <s v="Pakistan"/>
    <x v="0"/>
    <x v="5"/>
    <s v="IS"/>
    <x v="6"/>
    <n v="1"/>
    <n v="0"/>
    <m/>
    <m/>
    <n v="2001"/>
    <n v="6"/>
    <n v="0"/>
  </r>
  <r>
    <s v="Pakistan"/>
    <x v="0"/>
    <x v="5"/>
    <s v="IS"/>
    <x v="8"/>
    <n v="1"/>
    <n v="0"/>
    <m/>
    <m/>
    <n v="2004"/>
    <n v="5"/>
    <n v="0"/>
  </r>
  <r>
    <s v="Pakistan"/>
    <x v="0"/>
    <x v="2"/>
    <s v="Integrated Household Survey"/>
    <x v="23"/>
    <n v="1"/>
    <n v="1"/>
    <s v="Pakistan"/>
    <m/>
    <m/>
    <n v="9"/>
    <n v="0"/>
  </r>
  <r>
    <s v="Pakistan"/>
    <x v="0"/>
    <x v="1"/>
    <n v="4"/>
    <x v="0"/>
    <n v="1"/>
    <n v="1"/>
    <s v="Pakistan"/>
    <s v="Balochistan"/>
    <n v="2010"/>
    <n v="3"/>
    <n v="0"/>
  </r>
  <r>
    <s v="Pakistan"/>
    <x v="0"/>
    <x v="1"/>
    <n v="4"/>
    <x v="3"/>
    <n v="1"/>
    <n v="0"/>
    <s v=""/>
    <s v="Punjab"/>
    <n v="2011"/>
    <n v="2"/>
    <n v="0"/>
  </r>
  <r>
    <s v="Palestinians in Syrian Arab Republic"/>
    <x v="7"/>
    <x v="1"/>
    <n v="3"/>
    <x v="11"/>
    <n v="1"/>
    <n v="1"/>
    <s v="Palestinians in Syrian Arab Republic"/>
    <m/>
    <n v="2006"/>
    <n v="1"/>
    <n v="1"/>
  </r>
  <r>
    <s v="Panama"/>
    <x v="4"/>
    <x v="2"/>
    <s v="Encuesta de Niveles de Vida"/>
    <x v="2"/>
    <n v="1"/>
    <n v="0"/>
    <m/>
    <m/>
    <m/>
    <n v="3"/>
    <n v="0"/>
  </r>
  <r>
    <s v="Panama"/>
    <x v="4"/>
    <x v="2"/>
    <s v="Encuesta de Niveles de Vida"/>
    <x v="4"/>
    <n v="1"/>
    <n v="0"/>
    <m/>
    <m/>
    <m/>
    <n v="2"/>
    <n v="0"/>
  </r>
  <r>
    <s v="Panama"/>
    <x v="4"/>
    <x v="1"/>
    <n v="5"/>
    <x v="18"/>
    <n v="1"/>
    <n v="1"/>
    <s v="Panama"/>
    <m/>
    <m/>
    <n v="1"/>
    <n v="0"/>
  </r>
  <r>
    <s v="Panama"/>
    <x v="4"/>
    <x v="2"/>
    <s v="Encuesta de Niveles de Vida"/>
    <x v="17"/>
    <n v="1"/>
    <n v="1"/>
    <s v="Panama"/>
    <m/>
    <m/>
    <n v="4"/>
    <n v="1"/>
  </r>
  <r>
    <s v="Papua Guinea"/>
    <x v="6"/>
    <x v="2"/>
    <s v="Household Survey"/>
    <x v="5"/>
    <n v="1"/>
    <n v="1"/>
    <s v="Papua Guinea"/>
    <m/>
    <m/>
    <n v="1"/>
    <n v="1"/>
  </r>
  <r>
    <s v="Paraguay"/>
    <x v="4"/>
    <x v="0"/>
    <s v="DHS 5, Standard"/>
    <x v="26"/>
    <n v="1"/>
    <n v="1"/>
    <s v="Paraguay"/>
    <m/>
    <m/>
    <n v="1"/>
    <n v="1"/>
  </r>
  <r>
    <s v="Peru"/>
    <x v="4"/>
    <x v="0"/>
    <s v="DHS 5, Standard"/>
    <x v="22"/>
    <n v="1"/>
    <n v="1"/>
    <s v="Peru"/>
    <m/>
    <m/>
    <n v="15"/>
    <n v="0"/>
  </r>
  <r>
    <s v="Peru"/>
    <x v="4"/>
    <x v="0"/>
    <s v="DHS 5, Standard"/>
    <x v="22"/>
    <n v="1"/>
    <n v="0"/>
    <m/>
    <m/>
    <m/>
    <n v="14"/>
    <n v="0"/>
  </r>
  <r>
    <s v="Peru"/>
    <x v="4"/>
    <x v="0"/>
    <s v="DHS, Continuous"/>
    <x v="28"/>
    <n v="1"/>
    <n v="0"/>
    <m/>
    <m/>
    <m/>
    <n v="11"/>
    <n v="0"/>
  </r>
  <r>
    <s v="Peru"/>
    <x v="4"/>
    <x v="0"/>
    <s v="DHS 5, Interim"/>
    <x v="5"/>
    <n v="1"/>
    <n v="0"/>
    <m/>
    <m/>
    <m/>
    <n v="9"/>
    <n v="0"/>
  </r>
  <r>
    <s v="Peru"/>
    <x v="4"/>
    <x v="0"/>
    <s v="DHS 5, Standard AIS"/>
    <x v="1"/>
    <n v="1"/>
    <n v="0"/>
    <m/>
    <m/>
    <m/>
    <n v="8"/>
    <n v="0"/>
  </r>
  <r>
    <s v="Peru"/>
    <x v="4"/>
    <x v="0"/>
    <s v="DHS 5, MCH SPA"/>
    <x v="7"/>
    <n v="1"/>
    <n v="0"/>
    <m/>
    <m/>
    <m/>
    <n v="7"/>
    <n v="0"/>
  </r>
  <r>
    <s v="Peru"/>
    <x v="4"/>
    <x v="0"/>
    <s v="DHS 5, Standard"/>
    <x v="14"/>
    <n v="1"/>
    <n v="0"/>
    <m/>
    <m/>
    <m/>
    <n v="6"/>
    <n v="0"/>
  </r>
  <r>
    <s v="Peru"/>
    <x v="4"/>
    <x v="0"/>
    <s v="DHS 5, Standard"/>
    <x v="15"/>
    <n v="1"/>
    <n v="0"/>
    <m/>
    <m/>
    <m/>
    <n v="5"/>
    <n v="0"/>
  </r>
  <r>
    <s v="Peru"/>
    <x v="4"/>
    <x v="0"/>
    <s v="DHS 5, Standard"/>
    <x v="0"/>
    <n v="1"/>
    <n v="0"/>
    <m/>
    <m/>
    <m/>
    <n v="4"/>
    <n v="0"/>
  </r>
  <r>
    <s v="Peru"/>
    <x v="4"/>
    <x v="0"/>
    <s v="DHS 5, Standard"/>
    <x v="3"/>
    <n v="1"/>
    <n v="0"/>
    <m/>
    <m/>
    <m/>
    <n v="3"/>
    <n v="0"/>
  </r>
  <r>
    <s v="Peru"/>
    <x v="4"/>
    <x v="0"/>
    <s v="DHS 5, Standard"/>
    <x v="9"/>
    <n v="1"/>
    <n v="0"/>
    <m/>
    <m/>
    <m/>
    <n v="2"/>
    <n v="0"/>
  </r>
  <r>
    <s v="Peru"/>
    <x v="4"/>
    <x v="0"/>
    <s v="DHS 5, Standard"/>
    <x v="18"/>
    <n v="1"/>
    <n v="0"/>
    <m/>
    <m/>
    <m/>
    <n v="1"/>
    <n v="0"/>
  </r>
  <r>
    <s v="Peru"/>
    <x v="4"/>
    <x v="2"/>
    <s v="Encuesta Nacional de Hogares sobre Medición de Niv..."/>
    <x v="27"/>
    <n v="1"/>
    <n v="1"/>
    <s v="Peru"/>
    <m/>
    <m/>
    <n v="16"/>
    <n v="1"/>
  </r>
  <r>
    <s v="Peru"/>
    <x v="4"/>
    <x v="2"/>
    <s v="Encuesta de Hogares sobre Medición de Niveles de V..."/>
    <x v="26"/>
    <n v="1"/>
    <n v="0"/>
    <m/>
    <m/>
    <m/>
    <n v="13"/>
    <n v="0"/>
  </r>
  <r>
    <s v="Peru"/>
    <x v="4"/>
    <x v="2"/>
    <s v="Encuesta Nacional de Hogares sobre Medición de Niv..."/>
    <x v="23"/>
    <n v="1"/>
    <n v="0"/>
    <m/>
    <m/>
    <m/>
    <n v="12"/>
    <n v="0"/>
  </r>
  <r>
    <s v="Peru"/>
    <x v="4"/>
    <x v="2"/>
    <s v="Encuesta Nacional de Hogares sobre Medición de Niv..."/>
    <x v="16"/>
    <n v="1"/>
    <n v="0"/>
    <m/>
    <m/>
    <m/>
    <n v="10"/>
    <n v="0"/>
  </r>
  <r>
    <s v="Philippines"/>
    <x v="6"/>
    <x v="0"/>
    <s v="DHS 5, Standard"/>
    <x v="24"/>
    <n v="1"/>
    <n v="1"/>
    <s v="Philippines"/>
    <m/>
    <m/>
    <n v="7"/>
    <n v="1"/>
  </r>
  <r>
    <s v="Philippines"/>
    <x v="6"/>
    <x v="0"/>
    <s v="DHS 5, Standard"/>
    <x v="24"/>
    <n v="1"/>
    <n v="0"/>
    <m/>
    <m/>
    <m/>
    <n v="6"/>
    <n v="0"/>
  </r>
  <r>
    <s v="Philippines"/>
    <x v="6"/>
    <x v="0"/>
    <s v="DHS 5, Standard"/>
    <x v="20"/>
    <n v="1"/>
    <n v="0"/>
    <m/>
    <m/>
    <m/>
    <n v="5"/>
    <n v="0"/>
  </r>
  <r>
    <s v="Philippines"/>
    <x v="6"/>
    <x v="0"/>
    <s v="DHS 5, Standard"/>
    <x v="2"/>
    <n v="1"/>
    <n v="0"/>
    <m/>
    <m/>
    <m/>
    <n v="3"/>
    <n v="0"/>
  </r>
  <r>
    <s v="Philippines"/>
    <x v="6"/>
    <x v="0"/>
    <s v="DHS 5, HIV/MCH SPA"/>
    <x v="4"/>
    <n v="1"/>
    <n v="0"/>
    <m/>
    <m/>
    <m/>
    <n v="2"/>
    <n v="0"/>
  </r>
  <r>
    <s v="Philippines"/>
    <x v="6"/>
    <x v="0"/>
    <s v="DHS 5, Standard"/>
    <x v="18"/>
    <n v="1"/>
    <n v="0"/>
    <m/>
    <m/>
    <m/>
    <n v="1"/>
    <n v="0"/>
  </r>
  <r>
    <s v="Philippines"/>
    <x v="6"/>
    <x v="1"/>
    <n v="2"/>
    <x v="1"/>
    <n v="1"/>
    <n v="1"/>
    <s v="Philippines"/>
    <m/>
    <n v="2000"/>
    <n v="4"/>
    <n v="0"/>
  </r>
  <r>
    <s v="Qatar"/>
    <x v="2"/>
    <x v="1"/>
    <n v="4"/>
    <x v="9"/>
    <n v="1"/>
    <n v="1"/>
    <s v="Qatar"/>
    <m/>
    <m/>
    <n v="1"/>
    <n v="1"/>
  </r>
  <r>
    <s v="Romania"/>
    <x v="1"/>
    <x v="2"/>
    <s v="Integrated Household Survey"/>
    <x v="16"/>
    <n v="1"/>
    <n v="1"/>
    <s v="Romania"/>
    <m/>
    <m/>
    <n v="1"/>
    <n v="1"/>
  </r>
  <r>
    <s v="Rwanda"/>
    <x v="3"/>
    <x v="4"/>
    <s v="CWIQ"/>
    <x v="12"/>
    <n v="1"/>
    <n v="0"/>
    <m/>
    <m/>
    <m/>
    <n v="8"/>
    <n v="0"/>
  </r>
  <r>
    <s v="Rwanda"/>
    <x v="3"/>
    <x v="0"/>
    <s v="DHS 5, Malaria Indicator Survey"/>
    <x v="28"/>
    <n v="1"/>
    <n v="1"/>
    <s v="Rwanda"/>
    <m/>
    <m/>
    <n v="11"/>
    <n v="1"/>
  </r>
  <r>
    <s v="Rwanda"/>
    <x v="3"/>
    <x v="0"/>
    <s v="DHS 5, Standard"/>
    <x v="1"/>
    <n v="1"/>
    <n v="0"/>
    <m/>
    <m/>
    <m/>
    <n v="10"/>
    <n v="0"/>
  </r>
  <r>
    <s v="Rwanda"/>
    <x v="3"/>
    <x v="0"/>
    <s v="DHS 5, Standard AIS"/>
    <x v="12"/>
    <n v="1"/>
    <n v="0"/>
    <m/>
    <m/>
    <m/>
    <n v="7"/>
    <n v="0"/>
  </r>
  <r>
    <s v="Rwanda"/>
    <x v="3"/>
    <x v="0"/>
    <s v="DHS, Standard"/>
    <x v="8"/>
    <n v="1"/>
    <n v="0"/>
    <m/>
    <m/>
    <m/>
    <n v="6"/>
    <n v="0"/>
  </r>
  <r>
    <s v="Rwanda"/>
    <x v="3"/>
    <x v="0"/>
    <s v="DHS 5, Interim"/>
    <x v="14"/>
    <n v="1"/>
    <n v="0"/>
    <m/>
    <m/>
    <m/>
    <n v="5"/>
    <n v="0"/>
  </r>
  <r>
    <s v="Rwanda"/>
    <x v="3"/>
    <x v="0"/>
    <s v="DHS 5, Standard"/>
    <x v="4"/>
    <n v="1"/>
    <n v="0"/>
    <m/>
    <m/>
    <m/>
    <n v="4"/>
    <n v="0"/>
  </r>
  <r>
    <s v="Rwanda"/>
    <x v="3"/>
    <x v="0"/>
    <s v="DHS 5, Malaria Indicator Survey"/>
    <x v="0"/>
    <n v="1"/>
    <n v="0"/>
    <m/>
    <m/>
    <m/>
    <n v="3"/>
    <n v="0"/>
  </r>
  <r>
    <s v="Rwanda"/>
    <x v="3"/>
    <x v="0"/>
    <s v="DHS 5, Standard"/>
    <x v="3"/>
    <n v="1"/>
    <n v="0"/>
    <m/>
    <m/>
    <m/>
    <n v="2"/>
    <n v="0"/>
  </r>
  <r>
    <s v="Rwanda"/>
    <x v="3"/>
    <x v="0"/>
    <s v="DHS 5, Standard AIS"/>
    <x v="18"/>
    <n v="1"/>
    <n v="0"/>
    <m/>
    <m/>
    <m/>
    <n v="1"/>
    <n v="0"/>
  </r>
  <r>
    <s v="Rwanda"/>
    <x v="3"/>
    <x v="1"/>
    <n v="2"/>
    <x v="1"/>
    <n v="1"/>
    <n v="1"/>
    <s v="Rwanda"/>
    <m/>
    <n v="2000"/>
    <n v="9"/>
    <n v="0"/>
  </r>
  <r>
    <s v="Samoa "/>
    <x v="6"/>
    <x v="0"/>
    <s v="DHS 6, HIV/MCH SPA"/>
    <x v="15"/>
    <n v="1"/>
    <n v="1"/>
    <s v="Samoa "/>
    <m/>
    <m/>
    <n v="1"/>
    <n v="1"/>
  </r>
  <r>
    <s v="Sao Tome and Principe"/>
    <x v="3"/>
    <x v="0"/>
    <s v="DHS, Continuous"/>
    <x v="4"/>
    <n v="1"/>
    <n v="1"/>
    <s v="Sao Tome and Principe"/>
    <m/>
    <m/>
    <n v="1"/>
    <n v="0"/>
  </r>
  <r>
    <s v="Sao Tome and Principe"/>
    <x v="3"/>
    <x v="1"/>
    <n v="2"/>
    <x v="1"/>
    <n v="1"/>
    <n v="1"/>
    <s v="Sao Tome and Principe"/>
    <m/>
    <n v="2000"/>
    <n v="3"/>
    <n v="1"/>
  </r>
  <r>
    <s v="Sao Tome and Principe"/>
    <x v="3"/>
    <x v="1"/>
    <n v="3"/>
    <x v="11"/>
    <n v="1"/>
    <n v="0"/>
    <s v=""/>
    <m/>
    <n v="2006"/>
    <n v="2"/>
    <n v="0"/>
  </r>
  <r>
    <s v="Senegal"/>
    <x v="3"/>
    <x v="0"/>
    <s v="DHS 5, Malaria Indicator Survey"/>
    <x v="17"/>
    <n v="1"/>
    <n v="0"/>
    <m/>
    <m/>
    <m/>
    <n v="10"/>
    <n v="0"/>
  </r>
  <r>
    <s v="Senegal"/>
    <x v="3"/>
    <x v="0"/>
    <s v="DHS 6, Standard"/>
    <x v="22"/>
    <n v="1"/>
    <n v="1"/>
    <s v="Senegal"/>
    <m/>
    <m/>
    <n v="13"/>
    <n v="1"/>
  </r>
  <r>
    <s v="Senegal"/>
    <x v="3"/>
    <x v="0"/>
    <s v="DHS 6, Standard"/>
    <x v="24"/>
    <n v="1"/>
    <n v="0"/>
    <m/>
    <m/>
    <m/>
    <n v="12"/>
    <n v="0"/>
  </r>
  <r>
    <s v="Senegal"/>
    <x v="3"/>
    <x v="0"/>
    <s v="Special"/>
    <x v="13"/>
    <n v="1"/>
    <n v="0"/>
    <m/>
    <m/>
    <m/>
    <n v="9"/>
    <n v="0"/>
  </r>
  <r>
    <s v="Senegal"/>
    <x v="3"/>
    <x v="0"/>
    <s v="DHS, Standard"/>
    <x v="8"/>
    <n v="1"/>
    <n v="0"/>
    <m/>
    <m/>
    <m/>
    <n v="7"/>
    <n v="0"/>
  </r>
  <r>
    <s v="Senegal"/>
    <x v="3"/>
    <x v="0"/>
    <s v="DHS, Standard"/>
    <x v="11"/>
    <n v="1"/>
    <n v="0"/>
    <m/>
    <m/>
    <m/>
    <n v="6"/>
    <n v="0"/>
  </r>
  <r>
    <s v="Senegal"/>
    <x v="3"/>
    <x v="0"/>
    <s v="DHS, Standard"/>
    <x v="4"/>
    <n v="1"/>
    <n v="0"/>
    <m/>
    <m/>
    <m/>
    <n v="5"/>
    <n v="0"/>
  </r>
  <r>
    <s v="Senegal"/>
    <x v="3"/>
    <x v="0"/>
    <s v="DHS, Standard"/>
    <x v="0"/>
    <n v="1"/>
    <n v="0"/>
    <m/>
    <m/>
    <m/>
    <n v="4"/>
    <n v="0"/>
  </r>
  <r>
    <s v="Senegal"/>
    <x v="3"/>
    <x v="0"/>
    <s v="DHS 6, Standard"/>
    <x v="9"/>
    <n v="1"/>
    <n v="0"/>
    <m/>
    <m/>
    <m/>
    <n v="3"/>
    <n v="0"/>
  </r>
  <r>
    <s v="Senegal"/>
    <x v="3"/>
    <x v="0"/>
    <s v="HIV/MCH SPA"/>
    <x v="9"/>
    <n v="1"/>
    <n v="0"/>
    <m/>
    <m/>
    <m/>
    <n v="2"/>
    <n v="0"/>
  </r>
  <r>
    <s v="Senegal"/>
    <x v="3"/>
    <x v="0"/>
    <s v="MIS"/>
    <x v="18"/>
    <n v="1"/>
    <n v="0"/>
    <m/>
    <m/>
    <m/>
    <n v="1"/>
    <n v="0"/>
  </r>
  <r>
    <s v="Senegal"/>
    <x v="3"/>
    <x v="1"/>
    <n v="1"/>
    <x v="10"/>
    <n v="1"/>
    <n v="1"/>
    <s v="Senegal"/>
    <m/>
    <n v="1995"/>
    <n v="11"/>
    <n v="0"/>
  </r>
  <r>
    <s v="Senegal"/>
    <x v="3"/>
    <x v="1"/>
    <n v="2"/>
    <x v="1"/>
    <n v="1"/>
    <n v="0"/>
    <s v=""/>
    <m/>
    <n v="2000"/>
    <n v="8"/>
    <n v="0"/>
  </r>
  <r>
    <s v="Serbia"/>
    <x v="1"/>
    <x v="2"/>
    <s v="Kosovo Living Standards Measurement Survey"/>
    <x v="1"/>
    <n v="1"/>
    <n v="1"/>
    <s v="Serbia"/>
    <m/>
    <m/>
    <n v="7"/>
    <n v="1"/>
  </r>
  <r>
    <s v="Serbia"/>
    <x v="1"/>
    <x v="2"/>
    <s v="Living Standards Measurement Survey"/>
    <x v="6"/>
    <n v="1"/>
    <n v="0"/>
    <m/>
    <m/>
    <m/>
    <n v="6"/>
    <n v="0"/>
  </r>
  <r>
    <s v="Serbia"/>
    <x v="1"/>
    <x v="2"/>
    <s v="Living Standards Measurement Survey"/>
    <x v="2"/>
    <n v="1"/>
    <n v="0"/>
    <m/>
    <m/>
    <m/>
    <n v="5"/>
    <n v="0"/>
  </r>
  <r>
    <s v="Serbia"/>
    <x v="1"/>
    <x v="2"/>
    <s v="Living Standards Measurement Survey"/>
    <x v="14"/>
    <n v="1"/>
    <n v="0"/>
    <m/>
    <m/>
    <m/>
    <n v="3"/>
    <n v="0"/>
  </r>
  <r>
    <s v="Serbia"/>
    <x v="1"/>
    <x v="1"/>
    <n v="3"/>
    <x v="11"/>
    <n v="1"/>
    <n v="1"/>
    <s v="Serbia"/>
    <m/>
    <n v="2005"/>
    <n v="4"/>
    <n v="0"/>
  </r>
  <r>
    <s v="Serbia"/>
    <x v="1"/>
    <x v="1"/>
    <n v="4"/>
    <x v="0"/>
    <n v="1"/>
    <n v="0"/>
    <s v=""/>
    <m/>
    <n v="2010"/>
    <n v="2"/>
    <n v="0"/>
  </r>
  <r>
    <s v="Serbia"/>
    <x v="1"/>
    <x v="1"/>
    <n v="4"/>
    <x v="0"/>
    <n v="1"/>
    <n v="0"/>
    <s v=""/>
    <s v="Roman settlements"/>
    <n v="2010"/>
    <n v="1"/>
    <n v="0"/>
  </r>
  <r>
    <s v="Sierra Leone"/>
    <x v="3"/>
    <x v="0"/>
    <s v="DHS, Standard"/>
    <x v="4"/>
    <n v="1"/>
    <n v="1"/>
    <s v="Sierra Leone"/>
    <m/>
    <m/>
    <n v="5"/>
    <n v="0"/>
  </r>
  <r>
    <s v="Sierra Leone"/>
    <x v="3"/>
    <x v="0"/>
    <s v="DHS 6, Special"/>
    <x v="18"/>
    <n v="1"/>
    <n v="0"/>
    <m/>
    <m/>
    <m/>
    <n v="2"/>
    <n v="0"/>
  </r>
  <r>
    <s v="Sierra Leone"/>
    <x v="3"/>
    <x v="0"/>
    <s v="MIS"/>
    <x v="18"/>
    <n v="1"/>
    <n v="0"/>
    <m/>
    <m/>
    <m/>
    <n v="1"/>
    <n v="0"/>
  </r>
  <r>
    <s v="Sierra Leone"/>
    <x v="3"/>
    <x v="5"/>
    <s v="IS"/>
    <x v="7"/>
    <n v="1"/>
    <n v="1"/>
    <s v="Sierra Leone"/>
    <m/>
    <n v="2003"/>
    <n v="7"/>
    <n v="0"/>
  </r>
  <r>
    <s v="Sierra Leone"/>
    <x v="3"/>
    <x v="5"/>
    <s v="IS"/>
    <x v="3"/>
    <n v="1"/>
    <n v="0"/>
    <m/>
    <m/>
    <m/>
    <n v="3"/>
    <n v="0"/>
  </r>
  <r>
    <s v="Sierra Leone"/>
    <x v="3"/>
    <x v="1"/>
    <n v="2"/>
    <x v="1"/>
    <n v="1"/>
    <n v="1"/>
    <s v="Sierra Leone"/>
    <m/>
    <n v="2000"/>
    <n v="8"/>
    <n v="1"/>
  </r>
  <r>
    <s v="Sierra Leone"/>
    <x v="3"/>
    <x v="1"/>
    <n v="3"/>
    <x v="8"/>
    <n v="1"/>
    <n v="0"/>
    <s v=""/>
    <m/>
    <n v="2005"/>
    <n v="6"/>
    <n v="0"/>
  </r>
  <r>
    <s v="Sierra Leone"/>
    <x v="3"/>
    <x v="1"/>
    <n v="4"/>
    <x v="0"/>
    <n v="1"/>
    <n v="0"/>
    <s v=""/>
    <m/>
    <n v="2010"/>
    <n v="4"/>
    <n v="0"/>
  </r>
  <r>
    <s v="Sierra Leone"/>
    <x v="3"/>
    <x v="4"/>
    <s v="CWIQ"/>
    <x v="14"/>
    <n v="1"/>
    <n v="1"/>
    <s v="Sierra Leone"/>
    <m/>
    <m/>
    <n v="9"/>
    <n v="0"/>
  </r>
  <r>
    <s v="Somalia"/>
    <x v="2"/>
    <x v="1"/>
    <n v="2"/>
    <x v="13"/>
    <n v="1"/>
    <n v="1"/>
    <s v="Somalia"/>
    <m/>
    <n v="1999"/>
    <n v="4"/>
    <n v="1"/>
  </r>
  <r>
    <s v="Somalia"/>
    <x v="2"/>
    <x v="1"/>
    <n v="3"/>
    <x v="11"/>
    <n v="1"/>
    <n v="0"/>
    <s v=""/>
    <m/>
    <n v="2006"/>
    <n v="3"/>
    <n v="0"/>
  </r>
  <r>
    <s v="Somalia"/>
    <x v="2"/>
    <x v="1"/>
    <n v="4"/>
    <x v="3"/>
    <n v="1"/>
    <n v="0"/>
    <s v="Northeastern Territories"/>
    <m/>
    <m/>
    <n v="2"/>
    <n v="0"/>
  </r>
  <r>
    <s v="Somalia"/>
    <x v="2"/>
    <x v="1"/>
    <n v="4"/>
    <x v="3"/>
    <n v="1"/>
    <n v="0"/>
    <s v="Somaliland"/>
    <m/>
    <m/>
    <n v="1"/>
    <n v="0"/>
  </r>
  <r>
    <s v="South Africa"/>
    <x v="3"/>
    <x v="0"/>
    <s v="DHS, Continuous"/>
    <x v="20"/>
    <n v="1"/>
    <n v="1"/>
    <s v="South Africa"/>
    <m/>
    <m/>
    <n v="2"/>
    <n v="0"/>
  </r>
  <r>
    <s v="South Africa"/>
    <x v="3"/>
    <x v="0"/>
    <s v="DHS, Standard"/>
    <x v="2"/>
    <n v="1"/>
    <n v="0"/>
    <m/>
    <m/>
    <m/>
    <n v="1"/>
    <n v="0"/>
  </r>
  <r>
    <s v="South Africa"/>
    <x v="3"/>
    <x v="2"/>
    <s v="Integrated Household Survey"/>
    <x v="24"/>
    <n v="1"/>
    <n v="1"/>
    <s v="South Africa"/>
    <m/>
    <m/>
    <n v="3"/>
    <n v="1"/>
  </r>
  <r>
    <s v="South Sudan"/>
    <x v="2"/>
    <x v="1"/>
    <n v="4"/>
    <x v="0"/>
    <n v="1"/>
    <n v="1"/>
    <s v="South Sudan"/>
    <m/>
    <m/>
    <n v="1"/>
    <n v="1"/>
  </r>
  <r>
    <s v="Sri Lanka"/>
    <x v="0"/>
    <x v="0"/>
    <s v="DHS, Standard"/>
    <x v="25"/>
    <n v="1"/>
    <n v="1"/>
    <s v="Sri Lanka"/>
    <m/>
    <m/>
    <n v="2"/>
    <n v="1"/>
  </r>
  <r>
    <s v="Sri Lanka"/>
    <x v="0"/>
    <x v="0"/>
    <s v="DHS 5, Standard"/>
    <x v="11"/>
    <n v="1"/>
    <n v="0"/>
    <m/>
    <m/>
    <m/>
    <n v="1"/>
    <n v="0"/>
  </r>
  <r>
    <s v="St. Lucia"/>
    <x v="4"/>
    <x v="4"/>
    <s v="CWIQ"/>
    <x v="7"/>
    <n v="1"/>
    <n v="0"/>
    <m/>
    <m/>
    <m/>
    <n v="2"/>
    <n v="1"/>
  </r>
  <r>
    <s v="St. Lucia"/>
    <x v="4"/>
    <x v="1"/>
    <n v="4"/>
    <x v="9"/>
    <n v="1"/>
    <n v="0"/>
    <m/>
    <m/>
    <m/>
    <n v="1"/>
    <n v="0"/>
  </r>
  <r>
    <s v="Sudan"/>
    <x v="2"/>
    <x v="0"/>
    <s v="DHS, Standard"/>
    <x v="26"/>
    <n v="1"/>
    <n v="1"/>
    <s v="Sudan"/>
    <m/>
    <m/>
    <n v="4"/>
    <n v="1"/>
  </r>
  <r>
    <s v="Sudan"/>
    <x v="2"/>
    <x v="1"/>
    <n v="2"/>
    <x v="1"/>
    <n v="1"/>
    <n v="1"/>
    <s v="Sudan"/>
    <m/>
    <n v="2000"/>
    <n v="3"/>
    <n v="0"/>
  </r>
  <r>
    <s v="Sudan"/>
    <x v="2"/>
    <x v="1"/>
    <n v="4"/>
    <x v="0"/>
    <n v="1"/>
    <n v="0"/>
    <m/>
    <m/>
    <m/>
    <n v="1"/>
    <n v="0"/>
  </r>
  <r>
    <s v="Sudan"/>
    <x v="2"/>
    <x v="3"/>
    <s v="Sudan Household Health Survey (SHHS)"/>
    <x v="11"/>
    <n v="1"/>
    <n v="1"/>
    <s v="Sudan"/>
    <m/>
    <m/>
    <n v="2"/>
    <n v="0"/>
  </r>
  <r>
    <s v="Suriname"/>
    <x v="4"/>
    <x v="1"/>
    <n v="2"/>
    <x v="1"/>
    <n v="1"/>
    <n v="1"/>
    <s v="Suriname"/>
    <m/>
    <n v="2000"/>
    <n v="3"/>
    <n v="1"/>
  </r>
  <r>
    <s v="Suriname"/>
    <x v="4"/>
    <x v="1"/>
    <n v="3"/>
    <x v="11"/>
    <n v="1"/>
    <n v="0"/>
    <s v=""/>
    <m/>
    <n v="2006"/>
    <n v="2"/>
    <n v="0"/>
  </r>
  <r>
    <s v="Suriname"/>
    <x v="4"/>
    <x v="1"/>
    <n v="4"/>
    <x v="0"/>
    <n v="1"/>
    <n v="0"/>
    <s v=""/>
    <m/>
    <n v="2010"/>
    <n v="1"/>
    <n v="0"/>
  </r>
  <r>
    <s v="Swaziland"/>
    <x v="3"/>
    <x v="0"/>
    <s v="MIS"/>
    <x v="11"/>
    <n v="1"/>
    <n v="1"/>
    <s v="Swaziland"/>
    <m/>
    <m/>
    <n v="2"/>
    <n v="0"/>
  </r>
  <r>
    <s v="Swaziland"/>
    <x v="3"/>
    <x v="1"/>
    <n v="2"/>
    <x v="1"/>
    <n v="1"/>
    <n v="1"/>
    <s v="Swaziland"/>
    <m/>
    <n v="2000"/>
    <n v="3"/>
    <n v="1"/>
  </r>
  <r>
    <s v="Swaziland"/>
    <x v="3"/>
    <x v="1"/>
    <n v="4"/>
    <x v="0"/>
    <n v="1"/>
    <n v="0"/>
    <s v=""/>
    <m/>
    <n v="2010"/>
    <n v="1"/>
    <n v="0"/>
  </r>
  <r>
    <s v="Syrian Arab Republic"/>
    <x v="2"/>
    <x v="1"/>
    <n v="2"/>
    <x v="1"/>
    <n v="1"/>
    <n v="1"/>
    <s v="Syrian Arab Republic"/>
    <m/>
    <n v="2000"/>
    <n v="3"/>
    <n v="1"/>
  </r>
  <r>
    <s v="Syrian Arab Republic"/>
    <x v="2"/>
    <x v="1"/>
    <n v="3"/>
    <x v="11"/>
    <n v="1"/>
    <n v="0"/>
    <s v=""/>
    <m/>
    <n v="2006"/>
    <n v="1"/>
    <n v="0"/>
  </r>
  <r>
    <s v="Syrian Arab Republic"/>
    <x v="2"/>
    <x v="3"/>
    <s v="Syrian Family Health Survey (SFHS)"/>
    <x v="12"/>
    <n v="1"/>
    <n v="0"/>
    <s v=""/>
    <m/>
    <m/>
    <n v="2"/>
    <n v="0"/>
  </r>
  <r>
    <s v="Tajikistan"/>
    <x v="1"/>
    <x v="0"/>
    <s v="DHS, Standard"/>
    <x v="9"/>
    <n v="1"/>
    <n v="1"/>
    <s v="Tajikistan"/>
    <m/>
    <m/>
    <n v="1"/>
    <n v="0"/>
  </r>
  <r>
    <s v="Tajikistan"/>
    <x v="1"/>
    <x v="2"/>
    <s v="Living Standards Measurement Survey"/>
    <x v="13"/>
    <n v="1"/>
    <n v="1"/>
    <s v="Tajikistan"/>
    <m/>
    <m/>
    <n v="7"/>
    <n v="1"/>
  </r>
  <r>
    <s v="Tajikistan"/>
    <x v="1"/>
    <x v="2"/>
    <s v="Living Standards Measurement Survey"/>
    <x v="2"/>
    <n v="1"/>
    <n v="0"/>
    <s v=""/>
    <m/>
    <m/>
    <n v="5"/>
    <n v="0"/>
  </r>
  <r>
    <s v="Tajikistan"/>
    <x v="1"/>
    <x v="2"/>
    <s v="Living Standards Survey"/>
    <x v="14"/>
    <n v="1"/>
    <n v="0"/>
    <m/>
    <m/>
    <m/>
    <n v="3"/>
    <n v="0"/>
  </r>
  <r>
    <s v="Tajikistan"/>
    <x v="1"/>
    <x v="2"/>
    <s v="Living Standards Survey"/>
    <x v="15"/>
    <n v="1"/>
    <n v="0"/>
    <m/>
    <m/>
    <m/>
    <n v="2"/>
    <n v="0"/>
  </r>
  <r>
    <s v="Tajikistan"/>
    <x v="1"/>
    <x v="1"/>
    <n v="2"/>
    <x v="1"/>
    <n v="1"/>
    <n v="1"/>
    <s v="Tajikistan"/>
    <m/>
    <n v="2000"/>
    <n v="6"/>
    <n v="0"/>
  </r>
  <r>
    <s v="Tajikistan"/>
    <x v="1"/>
    <x v="1"/>
    <n v="3"/>
    <x v="8"/>
    <n v="1"/>
    <n v="0"/>
    <s v=""/>
    <m/>
    <n v="2005"/>
    <n v="4"/>
    <n v="0"/>
  </r>
  <r>
    <s v="Tanzania"/>
    <x v="3"/>
    <x v="4"/>
    <s v="Baseline Survey"/>
    <x v="2"/>
    <n v="1"/>
    <n v="1"/>
    <s v="Tanzania"/>
    <m/>
    <m/>
    <n v="15"/>
    <n v="0"/>
  </r>
  <r>
    <s v="Tanzania"/>
    <x v="3"/>
    <x v="4"/>
    <s v="Baseline Survey"/>
    <x v="7"/>
    <n v="1"/>
    <n v="0"/>
    <m/>
    <m/>
    <m/>
    <n v="13"/>
    <n v="0"/>
  </r>
  <r>
    <s v="Tanzania"/>
    <x v="3"/>
    <x v="4"/>
    <s v="Baseline Survey"/>
    <x v="8"/>
    <n v="1"/>
    <n v="0"/>
    <m/>
    <m/>
    <m/>
    <n v="10"/>
    <n v="0"/>
  </r>
  <r>
    <s v="Tanzania"/>
    <x v="3"/>
    <x v="4"/>
    <s v="Survey on Poverty and Welfare"/>
    <x v="14"/>
    <n v="1"/>
    <n v="0"/>
    <m/>
    <m/>
    <m/>
    <n v="8"/>
    <n v="0"/>
  </r>
  <r>
    <s v="Tanzania"/>
    <x v="3"/>
    <x v="0"/>
    <s v="DHS, Standard"/>
    <x v="28"/>
    <n v="1"/>
    <n v="1"/>
    <s v="Tanzania"/>
    <m/>
    <m/>
    <n v="24"/>
    <n v="0"/>
  </r>
  <r>
    <s v="Tanzania"/>
    <x v="3"/>
    <x v="0"/>
    <s v="DHS, Standard"/>
    <x v="16"/>
    <n v="1"/>
    <n v="0"/>
    <m/>
    <s v="Brazzaville"/>
    <m/>
    <n v="20"/>
    <n v="0"/>
  </r>
  <r>
    <s v="Tanzania"/>
    <x v="3"/>
    <x v="0"/>
    <s v="DHS, Standard"/>
    <x v="10"/>
    <n v="1"/>
    <n v="0"/>
    <m/>
    <m/>
    <m/>
    <n v="18"/>
    <n v="0"/>
  </r>
  <r>
    <s v="Tanzania"/>
    <x v="3"/>
    <x v="0"/>
    <s v="DHS, Standard"/>
    <x v="5"/>
    <n v="1"/>
    <n v="0"/>
    <m/>
    <m/>
    <m/>
    <n v="17"/>
    <n v="0"/>
  </r>
  <r>
    <s v="Tanzania"/>
    <x v="3"/>
    <x v="0"/>
    <s v="MICS"/>
    <x v="13"/>
    <n v="1"/>
    <n v="0"/>
    <m/>
    <m/>
    <m/>
    <n v="16"/>
    <n v="0"/>
  </r>
  <r>
    <s v="Tanzania"/>
    <x v="3"/>
    <x v="0"/>
    <s v="DHS, Standard"/>
    <x v="2"/>
    <n v="1"/>
    <n v="0"/>
    <m/>
    <m/>
    <m/>
    <n v="14"/>
    <n v="0"/>
  </r>
  <r>
    <s v="Tanzania"/>
    <x v="3"/>
    <x v="0"/>
    <s v="Special"/>
    <x v="7"/>
    <n v="1"/>
    <n v="0"/>
    <m/>
    <m/>
    <m/>
    <n v="12"/>
    <n v="0"/>
  </r>
  <r>
    <s v="Tanzania"/>
    <x v="3"/>
    <x v="0"/>
    <s v="MIS"/>
    <x v="11"/>
    <n v="1"/>
    <n v="0"/>
    <m/>
    <m/>
    <m/>
    <n v="9"/>
    <n v="0"/>
  </r>
  <r>
    <s v="Tanzania"/>
    <x v="3"/>
    <x v="0"/>
    <s v="MIS"/>
    <x v="14"/>
    <n v="1"/>
    <n v="0"/>
    <m/>
    <m/>
    <m/>
    <n v="7"/>
    <n v="0"/>
  </r>
  <r>
    <s v="Tanzania"/>
    <x v="3"/>
    <x v="0"/>
    <s v="DHS, Standard"/>
    <x v="0"/>
    <n v="1"/>
    <n v="0"/>
    <m/>
    <m/>
    <m/>
    <n v="5"/>
    <n v="0"/>
  </r>
  <r>
    <s v="Tanzania"/>
    <x v="3"/>
    <x v="0"/>
    <s v="DHS, Standard"/>
    <x v="9"/>
    <n v="1"/>
    <n v="0"/>
    <m/>
    <m/>
    <m/>
    <n v="2"/>
    <n v="0"/>
  </r>
  <r>
    <s v="Tanzania"/>
    <x v="3"/>
    <x v="0"/>
    <s v="DHS, Continuous"/>
    <x v="18"/>
    <n v="1"/>
    <n v="0"/>
    <m/>
    <m/>
    <m/>
    <n v="1"/>
    <n v="0"/>
  </r>
  <r>
    <s v="Tanzania"/>
    <x v="3"/>
    <x v="2"/>
    <s v="Kagera Health and Development Survey Wave 1"/>
    <x v="23"/>
    <n v="1"/>
    <n v="1"/>
    <s v="Tanzania"/>
    <m/>
    <m/>
    <n v="25"/>
    <n v="1"/>
  </r>
  <r>
    <s v="Tanzania"/>
    <x v="3"/>
    <x v="2"/>
    <s v="Kagera Health and Development Survey Wave 2"/>
    <x v="28"/>
    <n v="1"/>
    <n v="0"/>
    <m/>
    <m/>
    <m/>
    <n v="23"/>
    <n v="0"/>
  </r>
  <r>
    <s v="Tanzania"/>
    <x v="3"/>
    <x v="2"/>
    <s v="Human Resource Development Survey"/>
    <x v="24"/>
    <n v="1"/>
    <n v="0"/>
    <m/>
    <m/>
    <m/>
    <n v="22"/>
    <n v="0"/>
  </r>
  <r>
    <s v="Tanzania"/>
    <x v="3"/>
    <x v="2"/>
    <s v="Kagera Health and Development Survey Wave 3"/>
    <x v="24"/>
    <n v="1"/>
    <n v="0"/>
    <m/>
    <m/>
    <m/>
    <n v="21"/>
    <n v="0"/>
  </r>
  <r>
    <s v="Tanzania"/>
    <x v="3"/>
    <x v="2"/>
    <s v="Kagera Health and Development Survey Wave 4"/>
    <x v="16"/>
    <n v="1"/>
    <n v="0"/>
    <m/>
    <m/>
    <m/>
    <n v="19"/>
    <n v="0"/>
  </r>
  <r>
    <s v="Tanzania"/>
    <x v="3"/>
    <x v="2"/>
    <s v="Kagera Health and Development Survey Wave 5"/>
    <x v="7"/>
    <n v="1"/>
    <n v="0"/>
    <m/>
    <m/>
    <m/>
    <n v="11"/>
    <n v="0"/>
  </r>
  <r>
    <s v="Tanzania"/>
    <x v="3"/>
    <x v="2"/>
    <s v="National Panel Survey"/>
    <x v="4"/>
    <n v="1"/>
    <n v="0"/>
    <m/>
    <m/>
    <m/>
    <n v="6"/>
    <n v="0"/>
  </r>
  <r>
    <s v="Tanzania"/>
    <x v="3"/>
    <x v="2"/>
    <s v="Kagera Health and Development Survey Wave 6"/>
    <x v="0"/>
    <n v="1"/>
    <n v="0"/>
    <m/>
    <m/>
    <m/>
    <n v="4"/>
    <n v="0"/>
  </r>
  <r>
    <s v="Tanzania"/>
    <x v="3"/>
    <x v="2"/>
    <s v="National Panel Survey"/>
    <x v="0"/>
    <n v="1"/>
    <n v="0"/>
    <m/>
    <m/>
    <m/>
    <n v="3"/>
    <n v="0"/>
  </r>
  <r>
    <s v="Thailand"/>
    <x v="6"/>
    <x v="0"/>
    <s v="Special"/>
    <x v="25"/>
    <n v="1"/>
    <n v="1"/>
    <s v="Thailand"/>
    <m/>
    <m/>
    <n v="3"/>
    <n v="1"/>
  </r>
  <r>
    <s v="Thailand"/>
    <x v="6"/>
    <x v="1"/>
    <n v="3"/>
    <x v="11"/>
    <n v="1"/>
    <n v="1"/>
    <s v="Thailand"/>
    <m/>
    <n v="2005"/>
    <n v="2"/>
    <n v="0"/>
  </r>
  <r>
    <s v="Thailand"/>
    <x v="6"/>
    <x v="1"/>
    <n v="4"/>
    <x v="9"/>
    <n v="1"/>
    <n v="0"/>
    <m/>
    <m/>
    <m/>
    <n v="1"/>
    <n v="0"/>
  </r>
  <r>
    <s v="Timor-Leste"/>
    <x v="6"/>
    <x v="0"/>
    <s v="Standard AIS"/>
    <x v="15"/>
    <n v="1"/>
    <n v="1"/>
    <s v="Timor-Leste"/>
    <m/>
    <m/>
    <n v="1"/>
    <n v="1"/>
  </r>
  <r>
    <s v="Timor-Leste"/>
    <x v="6"/>
    <x v="2"/>
    <s v="Living Standards Survey"/>
    <x v="12"/>
    <n v="1"/>
    <n v="1"/>
    <s v="Timor-Leste"/>
    <m/>
    <m/>
    <n v="2"/>
    <n v="0"/>
  </r>
  <r>
    <s v="Timor-Leste"/>
    <x v="6"/>
    <x v="2"/>
    <s v="Survey of Living Standards"/>
    <x v="14"/>
    <n v="1"/>
    <n v="0"/>
    <s v=""/>
    <m/>
    <m/>
    <n v="3"/>
    <n v="0"/>
  </r>
  <r>
    <s v="Togo"/>
    <x v="3"/>
    <x v="4"/>
    <s v="CWIQ"/>
    <x v="11"/>
    <n v="1"/>
    <n v="1"/>
    <s v="Togo"/>
    <m/>
    <m/>
    <n v="4"/>
    <n v="0"/>
  </r>
  <r>
    <s v="Togo"/>
    <x v="3"/>
    <x v="4"/>
    <s v="CWIQ"/>
    <x v="3"/>
    <n v="1"/>
    <n v="0"/>
    <m/>
    <m/>
    <m/>
    <n v="2"/>
    <n v="0"/>
  </r>
  <r>
    <s v="Togo"/>
    <x v="3"/>
    <x v="0"/>
    <s v="DHS, Standard"/>
    <x v="21"/>
    <n v="1"/>
    <n v="1"/>
    <s v="Togo"/>
    <m/>
    <m/>
    <n v="8"/>
    <n v="1"/>
  </r>
  <r>
    <s v="Togo"/>
    <x v="3"/>
    <x v="0"/>
    <s v="DHS, Standard"/>
    <x v="20"/>
    <n v="1"/>
    <n v="0"/>
    <m/>
    <m/>
    <m/>
    <n v="7"/>
    <n v="0"/>
  </r>
  <r>
    <s v="Togo"/>
    <x v="3"/>
    <x v="0"/>
    <s v="MIS"/>
    <x v="18"/>
    <n v="1"/>
    <n v="0"/>
    <m/>
    <m/>
    <m/>
    <n v="1"/>
    <n v="0"/>
  </r>
  <r>
    <s v="Togo"/>
    <x v="3"/>
    <x v="1"/>
    <n v="2"/>
    <x v="1"/>
    <n v="1"/>
    <n v="1"/>
    <s v="Togo"/>
    <m/>
    <n v="2000"/>
    <n v="6"/>
    <n v="0"/>
  </r>
  <r>
    <s v="Togo"/>
    <x v="3"/>
    <x v="1"/>
    <n v="3"/>
    <x v="11"/>
    <n v="1"/>
    <n v="0"/>
    <s v=""/>
    <m/>
    <n v="2006"/>
    <n v="5"/>
    <n v="0"/>
  </r>
  <r>
    <s v="Togo"/>
    <x v="3"/>
    <x v="1"/>
    <n v="4"/>
    <x v="0"/>
    <n v="1"/>
    <n v="0"/>
    <s v=""/>
    <m/>
    <n v="2010"/>
    <n v="3"/>
    <n v="0"/>
  </r>
  <r>
    <s v="Trinidad and Tobago"/>
    <x v="4"/>
    <x v="0"/>
    <s v="DHS, Standard"/>
    <x v="25"/>
    <n v="1"/>
    <n v="1"/>
    <s v="Trinidad and Tobago"/>
    <m/>
    <m/>
    <n v="4"/>
    <n v="1"/>
  </r>
  <r>
    <s v="Trinidad and Tobago"/>
    <x v="4"/>
    <x v="5"/>
    <s v="IS"/>
    <x v="28"/>
    <n v="1"/>
    <n v="1"/>
    <s v="Trinidad and Tobago"/>
    <m/>
    <m/>
    <n v="5"/>
    <n v="0"/>
  </r>
  <r>
    <s v="Trinidad and Tobago"/>
    <x v="4"/>
    <x v="1"/>
    <n v="2"/>
    <x v="1"/>
    <n v="1"/>
    <n v="1"/>
    <s v="Trinidad and Tobago"/>
    <m/>
    <n v="2000"/>
    <n v="3"/>
    <n v="0"/>
  </r>
  <r>
    <s v="Trinidad and Tobago"/>
    <x v="4"/>
    <x v="1"/>
    <n v="3"/>
    <x v="11"/>
    <n v="1"/>
    <n v="0"/>
    <s v=""/>
    <m/>
    <n v="2006"/>
    <n v="2"/>
    <n v="0"/>
  </r>
  <r>
    <s v="Trinidad and Tobago"/>
    <x v="4"/>
    <x v="1"/>
    <n v="4"/>
    <x v="3"/>
    <n v="1"/>
    <n v="0"/>
    <m/>
    <m/>
    <m/>
    <n v="1"/>
    <n v="0"/>
  </r>
  <r>
    <s v="Tunisia"/>
    <x v="2"/>
    <x v="0"/>
    <s v="DHS, Standard"/>
    <x v="21"/>
    <n v="1"/>
    <n v="1"/>
    <s v="Tunisia"/>
    <m/>
    <m/>
    <n v="4"/>
    <n v="1"/>
  </r>
  <r>
    <s v="Tunisia"/>
    <x v="2"/>
    <x v="1"/>
    <n v="2"/>
    <x v="1"/>
    <n v="1"/>
    <n v="1"/>
    <s v="Tunisia"/>
    <m/>
    <n v="2000"/>
    <n v="3"/>
    <n v="0"/>
  </r>
  <r>
    <s v="Tunisia"/>
    <x v="2"/>
    <x v="1"/>
    <n v="3"/>
    <x v="11"/>
    <n v="1"/>
    <n v="0"/>
    <s v=""/>
    <m/>
    <n v="2006"/>
    <n v="1"/>
    <n v="0"/>
  </r>
  <r>
    <s v="Tunisia"/>
    <x v="2"/>
    <x v="1"/>
    <n v="4"/>
    <x v="9"/>
    <n v="1"/>
    <n v="0"/>
    <s v=""/>
    <m/>
    <m/>
    <n v="5"/>
    <n v="0"/>
  </r>
  <r>
    <s v="Tunisia"/>
    <x v="2"/>
    <x v="3"/>
    <s v="Tunisian Family Health Survey (TFHS)"/>
    <x v="6"/>
    <n v="1"/>
    <n v="1"/>
    <s v="Tunisia"/>
    <m/>
    <m/>
    <n v="2"/>
    <n v="0"/>
  </r>
  <r>
    <s v="Turkey"/>
    <x v="1"/>
    <x v="0"/>
    <s v="DHS, Standard"/>
    <x v="24"/>
    <n v="1"/>
    <n v="1"/>
    <s v="Turkey"/>
    <m/>
    <m/>
    <n v="3"/>
    <n v="1"/>
  </r>
  <r>
    <s v="Turkey"/>
    <x v="1"/>
    <x v="0"/>
    <s v="DHS, Standard"/>
    <x v="20"/>
    <n v="1"/>
    <n v="0"/>
    <m/>
    <m/>
    <m/>
    <n v="2"/>
    <n v="0"/>
  </r>
  <r>
    <s v="Turkey"/>
    <x v="1"/>
    <x v="0"/>
    <s v="DHS, Standard"/>
    <x v="2"/>
    <n v="1"/>
    <n v="0"/>
    <m/>
    <m/>
    <m/>
    <n v="1"/>
    <n v="0"/>
  </r>
  <r>
    <s v="Turkmenistan"/>
    <x v="1"/>
    <x v="0"/>
    <s v="DHS, Standard"/>
    <x v="1"/>
    <n v="1"/>
    <n v="1"/>
    <s v="Turkmenistan"/>
    <m/>
    <m/>
    <n v="3"/>
    <n v="1"/>
  </r>
  <r>
    <s v="Turkmenistan"/>
    <x v="1"/>
    <x v="5"/>
    <s v="IS"/>
    <x v="2"/>
    <n v="1"/>
    <n v="1"/>
    <s v="Turkmenistan"/>
    <m/>
    <m/>
    <n v="2"/>
    <n v="0"/>
  </r>
  <r>
    <s v="Turkmenistan"/>
    <x v="1"/>
    <x v="1"/>
    <n v="3"/>
    <x v="11"/>
    <n v="1"/>
    <n v="1"/>
    <s v="Turkmenistan"/>
    <m/>
    <n v="2006"/>
    <n v="1"/>
    <n v="0"/>
  </r>
  <r>
    <s v="Uganda"/>
    <x v="3"/>
    <x v="0"/>
    <s v="DHS, Standard"/>
    <x v="21"/>
    <n v="1"/>
    <n v="1"/>
    <s v="Uganda"/>
    <m/>
    <m/>
    <n v="12"/>
    <n v="1"/>
  </r>
  <r>
    <s v="Uganda"/>
    <x v="3"/>
    <x v="0"/>
    <s v="DHS, Standard"/>
    <x v="10"/>
    <n v="1"/>
    <n v="0"/>
    <m/>
    <m/>
    <m/>
    <n v="11"/>
    <n v="0"/>
  </r>
  <r>
    <s v="Uganda"/>
    <x v="3"/>
    <x v="0"/>
    <s v="DHS, Standard"/>
    <x v="10"/>
    <n v="1"/>
    <n v="0"/>
    <m/>
    <m/>
    <m/>
    <n v="10"/>
    <n v="0"/>
  </r>
  <r>
    <s v="Uganda"/>
    <x v="3"/>
    <x v="0"/>
    <s v="MIS"/>
    <x v="1"/>
    <n v="1"/>
    <n v="0"/>
    <m/>
    <m/>
    <m/>
    <n v="9"/>
    <n v="0"/>
  </r>
  <r>
    <s v="Uganda"/>
    <x v="3"/>
    <x v="0"/>
    <s v="DHS, Standard"/>
    <x v="7"/>
    <n v="1"/>
    <n v="0"/>
    <m/>
    <m/>
    <m/>
    <n v="8"/>
    <n v="0"/>
  </r>
  <r>
    <s v="Uganda"/>
    <x v="3"/>
    <x v="0"/>
    <s v="DHS, Standard"/>
    <x v="11"/>
    <n v="1"/>
    <n v="0"/>
    <m/>
    <m/>
    <m/>
    <n v="7"/>
    <n v="0"/>
  </r>
  <r>
    <s v="Uganda"/>
    <x v="3"/>
    <x v="0"/>
    <s v="DHS, Standard"/>
    <x v="14"/>
    <n v="1"/>
    <n v="0"/>
    <m/>
    <m/>
    <m/>
    <n v="6"/>
    <n v="0"/>
  </r>
  <r>
    <s v="Uganda"/>
    <x v="3"/>
    <x v="0"/>
    <s v="DHS, Continuous"/>
    <x v="15"/>
    <n v="1"/>
    <n v="0"/>
    <m/>
    <m/>
    <m/>
    <n v="5"/>
    <n v="0"/>
  </r>
  <r>
    <s v="Uganda"/>
    <x v="3"/>
    <x v="0"/>
    <s v="DHS, Continuous"/>
    <x v="3"/>
    <n v="1"/>
    <n v="0"/>
    <m/>
    <m/>
    <m/>
    <n v="2"/>
    <n v="0"/>
  </r>
  <r>
    <s v="Uganda"/>
    <x v="3"/>
    <x v="0"/>
    <s v="HIV/MCH SPA"/>
    <x v="3"/>
    <n v="1"/>
    <n v="0"/>
    <m/>
    <m/>
    <m/>
    <n v="1"/>
    <n v="0"/>
  </r>
  <r>
    <s v="Uganda"/>
    <x v="3"/>
    <x v="2"/>
    <s v="National Panel Survey"/>
    <x v="15"/>
    <n v="1"/>
    <n v="1"/>
    <s v="Uganda"/>
    <m/>
    <m/>
    <n v="4"/>
    <n v="0"/>
  </r>
  <r>
    <s v="Uganda"/>
    <x v="3"/>
    <x v="2"/>
    <s v="National Panel Survey"/>
    <x v="0"/>
    <n v="1"/>
    <n v="0"/>
    <m/>
    <m/>
    <m/>
    <n v="3"/>
    <n v="0"/>
  </r>
  <r>
    <s v="Uganda"/>
    <x v="3"/>
    <x v="2"/>
    <s v="National Panel Survey"/>
    <x v="3"/>
    <n v="1"/>
    <n v="0"/>
    <m/>
    <m/>
    <m/>
    <n v="5"/>
    <n v="0"/>
  </r>
  <r>
    <s v="Ukraine"/>
    <x v="1"/>
    <x v="0"/>
    <s v="DHS, Standard"/>
    <x v="14"/>
    <n v="1"/>
    <n v="1"/>
    <s v="Ukraine"/>
    <m/>
    <m/>
    <n v="2"/>
    <n v="0"/>
  </r>
  <r>
    <s v="Ukraine"/>
    <x v="1"/>
    <x v="1"/>
    <n v="2"/>
    <x v="1"/>
    <n v="1"/>
    <n v="1"/>
    <s v="Ukraine"/>
    <m/>
    <n v="2000"/>
    <n v="4"/>
    <n v="1"/>
  </r>
  <r>
    <s v="Ukraine"/>
    <x v="1"/>
    <x v="1"/>
    <n v="3"/>
    <x v="8"/>
    <n v="1"/>
    <n v="0"/>
    <s v=""/>
    <m/>
    <n v="2005"/>
    <n v="3"/>
    <n v="0"/>
  </r>
  <r>
    <s v="Ukraine"/>
    <x v="1"/>
    <x v="1"/>
    <n v="4"/>
    <x v="9"/>
    <n v="1"/>
    <n v="0"/>
    <m/>
    <m/>
    <m/>
    <n v="1"/>
    <n v="0"/>
  </r>
  <r>
    <s v="Uruguay"/>
    <x v="4"/>
    <x v="1"/>
    <n v="4"/>
    <x v="9"/>
    <n v="1"/>
    <n v="1"/>
    <s v="Uruguay"/>
    <s v="WHO preivously"/>
    <m/>
    <n v="1"/>
    <n v="1"/>
  </r>
  <r>
    <s v="Uzbekistan"/>
    <x v="1"/>
    <x v="0"/>
    <s v="Standard AIS"/>
    <x v="5"/>
    <n v="1"/>
    <n v="1"/>
    <s v="Uzbekistan"/>
    <m/>
    <m/>
    <n v="4"/>
    <n v="1"/>
  </r>
  <r>
    <s v="Uzbekistan"/>
    <x v="1"/>
    <x v="0"/>
    <s v="DHS, Standard"/>
    <x v="6"/>
    <n v="1"/>
    <n v="0"/>
    <m/>
    <m/>
    <m/>
    <n v="2"/>
    <n v="0"/>
  </r>
  <r>
    <s v="Uzbekistan"/>
    <x v="1"/>
    <x v="1"/>
    <n v="2"/>
    <x v="1"/>
    <n v="1"/>
    <n v="1"/>
    <s v="Uzbekistan"/>
    <m/>
    <n v="2000"/>
    <n v="3"/>
    <n v="0"/>
  </r>
  <r>
    <s v="Uzbekistan"/>
    <x v="1"/>
    <x v="1"/>
    <n v="3"/>
    <x v="11"/>
    <n v="1"/>
    <n v="0"/>
    <s v=""/>
    <m/>
    <n v="2006"/>
    <n v="1"/>
    <n v="0"/>
  </r>
  <r>
    <s v="Vanuatu"/>
    <x v="6"/>
    <x v="1"/>
    <n v="3"/>
    <x v="14"/>
    <n v="1"/>
    <n v="1"/>
    <s v="Vanuatu"/>
    <m/>
    <n v="2007"/>
    <n v="1"/>
    <n v="1"/>
  </r>
  <r>
    <s v="Venezuela"/>
    <x v="4"/>
    <x v="1"/>
    <n v="2"/>
    <x v="1"/>
    <n v="1"/>
    <n v="1"/>
    <s v="Venezuela"/>
    <m/>
    <n v="2000"/>
    <n v="1"/>
    <n v="1"/>
  </r>
  <r>
    <s v="Viet Nam"/>
    <x v="6"/>
    <x v="0"/>
    <s v="DHS, Standard"/>
    <x v="17"/>
    <n v="1"/>
    <n v="1"/>
    <s v="Viet Nam"/>
    <m/>
    <m/>
    <n v="12"/>
    <n v="0"/>
  </r>
  <r>
    <s v="Viet Nam"/>
    <x v="6"/>
    <x v="0"/>
    <s v="HIV/MCH SPA"/>
    <x v="6"/>
    <n v="1"/>
    <n v="0"/>
    <m/>
    <m/>
    <m/>
    <n v="9"/>
    <n v="0"/>
  </r>
  <r>
    <s v="Viet Nam"/>
    <x v="6"/>
    <x v="0"/>
    <s v="DHS, Standard"/>
    <x v="8"/>
    <n v="1"/>
    <n v="0"/>
    <m/>
    <m/>
    <m/>
    <n v="7"/>
    <n v="0"/>
  </r>
  <r>
    <s v="Viet Nam"/>
    <x v="6"/>
    <x v="2"/>
    <s v="Living Standards Survey"/>
    <x v="28"/>
    <n v="1"/>
    <n v="1"/>
    <m/>
    <m/>
    <m/>
    <n v="14"/>
    <n v="1"/>
  </r>
  <r>
    <s v="Viet Nam"/>
    <x v="6"/>
    <x v="2"/>
    <s v="Household Living Standards Survey"/>
    <x v="6"/>
    <n v="1"/>
    <n v="0"/>
    <m/>
    <m/>
    <m/>
    <n v="10"/>
    <n v="0"/>
  </r>
  <r>
    <s v="Viet Nam"/>
    <x v="6"/>
    <x v="2"/>
    <s v="Household Living Standards Survey"/>
    <x v="7"/>
    <n v="1"/>
    <n v="0"/>
    <m/>
    <m/>
    <m/>
    <n v="8"/>
    <n v="0"/>
  </r>
  <r>
    <s v="Viet Nam"/>
    <x v="6"/>
    <x v="2"/>
    <s v="Household Living Standards Survey"/>
    <x v="11"/>
    <n v="1"/>
    <n v="0"/>
    <m/>
    <m/>
    <m/>
    <n v="6"/>
    <n v="0"/>
  </r>
  <r>
    <s v="Viet Nam"/>
    <x v="6"/>
    <x v="2"/>
    <s v="Household Living Standards Survey"/>
    <x v="4"/>
    <n v="1"/>
    <n v="0"/>
    <m/>
    <m/>
    <m/>
    <n v="4"/>
    <n v="0"/>
  </r>
  <r>
    <s v="Viet Nam"/>
    <x v="6"/>
    <x v="2"/>
    <s v="Household Living Standards Survey"/>
    <x v="0"/>
    <n v="1"/>
    <n v="0"/>
    <m/>
    <m/>
    <m/>
    <n v="3"/>
    <n v="0"/>
  </r>
  <r>
    <s v="Viet Nam"/>
    <x v="6"/>
    <x v="1"/>
    <n v="2"/>
    <x v="1"/>
    <n v="1"/>
    <n v="1"/>
    <s v="Viet Nam"/>
    <m/>
    <n v="2000"/>
    <n v="11"/>
    <n v="0"/>
  </r>
  <r>
    <s v="Viet Nam"/>
    <x v="6"/>
    <x v="1"/>
    <n v="3"/>
    <x v="11"/>
    <n v="1"/>
    <n v="0"/>
    <s v=""/>
    <m/>
    <n v="2006"/>
    <n v="5"/>
    <n v="0"/>
  </r>
  <r>
    <s v="Viet Nam"/>
    <x v="6"/>
    <x v="1"/>
    <n v="4"/>
    <x v="3"/>
    <n v="1"/>
    <n v="0"/>
    <s v=""/>
    <m/>
    <n v="2010"/>
    <n v="2"/>
    <n v="0"/>
  </r>
  <r>
    <s v="Viet Nam"/>
    <x v="6"/>
    <x v="1"/>
    <n v="3"/>
    <x v="29"/>
    <n v="1"/>
    <n v="0"/>
    <m/>
    <m/>
    <n v="2013"/>
    <n v="1"/>
    <n v="0"/>
  </r>
  <r>
    <s v="Viet Nam"/>
    <x v="6"/>
    <x v="2"/>
    <s v="Living Standards Survey"/>
    <x v="17"/>
    <n v="1"/>
    <n v="0"/>
    <m/>
    <m/>
    <m/>
    <n v="13"/>
    <n v="0"/>
  </r>
  <r>
    <s v="Yemen"/>
    <x v="2"/>
    <x v="0"/>
    <s v="HIV/MCH SPA"/>
    <x v="17"/>
    <n v="1"/>
    <n v="0"/>
    <m/>
    <m/>
    <m/>
    <n v="4"/>
    <n v="0"/>
  </r>
  <r>
    <s v="Yemen"/>
    <x v="2"/>
    <x v="0"/>
    <s v="MIS"/>
    <x v="23"/>
    <n v="1"/>
    <n v="1"/>
    <s v="Yemen"/>
    <m/>
    <m/>
    <n v="5"/>
    <n v="1"/>
  </r>
  <r>
    <s v="Yemen"/>
    <x v="2"/>
    <x v="0"/>
    <s v="DHS, Standard"/>
    <x v="18"/>
    <n v="1"/>
    <n v="0"/>
    <m/>
    <m/>
    <m/>
    <n v="1"/>
    <n v="0"/>
  </r>
  <r>
    <s v="Yemen"/>
    <x v="2"/>
    <x v="1"/>
    <n v="3"/>
    <x v="11"/>
    <n v="1"/>
    <n v="1"/>
    <s v="Yemen"/>
    <m/>
    <n v="2006"/>
    <n v="2"/>
    <n v="0"/>
  </r>
  <r>
    <s v="Yemen"/>
    <x v="2"/>
    <x v="3"/>
    <s v="Yemen Family Health Survey (YFHS)"/>
    <x v="2"/>
    <n v="1"/>
    <n v="1"/>
    <s v="Yemen"/>
    <m/>
    <m/>
    <n v="3"/>
    <n v="0"/>
  </r>
  <r>
    <s v="Yugoslavia"/>
    <x v="1"/>
    <x v="1"/>
    <n v="1"/>
    <x v="5"/>
    <n v="1"/>
    <n v="1"/>
    <s v="Yugoslavia"/>
    <m/>
    <n v="1996"/>
    <n v="2"/>
    <n v="1"/>
  </r>
  <r>
    <s v="Yugoslavia"/>
    <x v="1"/>
    <x v="1"/>
    <n v="2"/>
    <x v="1"/>
    <n v="1"/>
    <n v="0"/>
    <s v=""/>
    <m/>
    <n v="2000"/>
    <n v="1"/>
    <n v="0"/>
  </r>
  <r>
    <s v="Zambia"/>
    <x v="3"/>
    <x v="0"/>
    <s v="DHS, Standard"/>
    <x v="28"/>
    <n v="1"/>
    <n v="1"/>
    <s v="Zambia"/>
    <m/>
    <m/>
    <n v="8"/>
    <n v="1"/>
  </r>
  <r>
    <s v="Zambia"/>
    <x v="3"/>
    <x v="0"/>
    <s v="DHS, Continuous"/>
    <x v="5"/>
    <n v="1"/>
    <n v="0"/>
    <m/>
    <m/>
    <m/>
    <n v="6"/>
    <n v="0"/>
  </r>
  <r>
    <s v="Zambia"/>
    <x v="3"/>
    <x v="0"/>
    <s v="DHS, Standard"/>
    <x v="6"/>
    <n v="1"/>
    <n v="0"/>
    <m/>
    <m/>
    <m/>
    <n v="4"/>
    <n v="0"/>
  </r>
  <r>
    <s v="Zambia"/>
    <x v="3"/>
    <x v="0"/>
    <s v="MIS"/>
    <x v="8"/>
    <n v="1"/>
    <n v="0"/>
    <m/>
    <m/>
    <m/>
    <n v="3"/>
    <n v="0"/>
  </r>
  <r>
    <s v="Zambia"/>
    <x v="3"/>
    <x v="0"/>
    <s v="DHS, Continuous"/>
    <x v="14"/>
    <n v="1"/>
    <n v="0"/>
    <m/>
    <m/>
    <m/>
    <n v="2"/>
    <n v="0"/>
  </r>
  <r>
    <s v="Zambia"/>
    <x v="3"/>
    <x v="0"/>
    <s v="MIS"/>
    <x v="18"/>
    <n v="1"/>
    <n v="0"/>
    <m/>
    <m/>
    <m/>
    <n v="1"/>
    <n v="0"/>
  </r>
  <r>
    <s v="Zambia"/>
    <x v="3"/>
    <x v="1"/>
    <n v="1"/>
    <x v="10"/>
    <n v="1"/>
    <n v="1"/>
    <s v="Zambia"/>
    <m/>
    <n v="1995"/>
    <n v="7"/>
    <n v="0"/>
  </r>
  <r>
    <s v="Zambia"/>
    <x v="3"/>
    <x v="1"/>
    <n v="2"/>
    <x v="13"/>
    <n v="1"/>
    <n v="0"/>
    <s v=""/>
    <m/>
    <n v="1999"/>
    <n v="5"/>
    <n v="0"/>
  </r>
  <r>
    <s v="Zimbabwe"/>
    <x v="3"/>
    <x v="0"/>
    <s v="DHS, Standard"/>
    <x v="21"/>
    <n v="1"/>
    <n v="1"/>
    <s v="Zimbabwe"/>
    <m/>
    <m/>
    <n v="6"/>
    <n v="1"/>
  </r>
  <r>
    <s v="Zimbabwe"/>
    <x v="3"/>
    <x v="0"/>
    <s v="HIV/MCH SPA"/>
    <x v="16"/>
    <n v="1"/>
    <n v="0"/>
    <m/>
    <m/>
    <m/>
    <n v="5"/>
    <n v="0"/>
  </r>
  <r>
    <s v="Zimbabwe"/>
    <x v="3"/>
    <x v="0"/>
    <s v="DHS, Standard"/>
    <x v="13"/>
    <n v="1"/>
    <n v="0"/>
    <m/>
    <m/>
    <m/>
    <n v="4"/>
    <n v="0"/>
  </r>
  <r>
    <s v="Zimbabwe"/>
    <x v="3"/>
    <x v="0"/>
    <s v="DHS, Standard"/>
    <x v="8"/>
    <n v="1"/>
    <n v="0"/>
    <m/>
    <m/>
    <m/>
    <n v="3"/>
    <n v="0"/>
  </r>
  <r>
    <s v="Zimbabwe"/>
    <x v="3"/>
    <x v="0"/>
    <s v="DHS, Standard"/>
    <x v="0"/>
    <n v="1"/>
    <n v="0"/>
    <m/>
    <m/>
    <m/>
    <n v="1"/>
    <n v="0"/>
  </r>
  <r>
    <s v="Zimbabwe"/>
    <x v="3"/>
    <x v="1"/>
    <n v="3"/>
    <x v="15"/>
    <n v="1"/>
    <n v="1"/>
    <s v="Zimbabwe"/>
    <m/>
    <n v="2009"/>
    <n v="2"/>
    <n v="0"/>
  </r>
  <r>
    <m/>
    <x v="7"/>
    <x v="6"/>
    <m/>
    <x v="30"/>
    <m/>
    <m/>
    <m/>
    <m/>
    <m/>
    <m/>
    <n v="1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70">
  <location ref="A5:H37" firstHeaderRow="1" firstDataRow="2" firstDataCol="1" rowPageCount="1" colPageCount="1"/>
  <pivotFields count="12">
    <pivotField dataField="1" showAll="0"/>
    <pivotField axis="axisPage" multipleItemSelectionAllowed="1" showAll="0">
      <items count="11">
        <item m="1" x="9"/>
        <item x="2"/>
        <item x="5"/>
        <item x="6"/>
        <item x="1"/>
        <item x="4"/>
        <item x="0"/>
        <item x="8"/>
        <item x="3"/>
        <item x="7"/>
        <item t="default"/>
      </items>
    </pivotField>
    <pivotField axis="axisCol" multipleItemSelectionAllowed="1" showAll="0">
      <items count="8">
        <item x="4"/>
        <item x="0"/>
        <item x="5"/>
        <item x="2"/>
        <item x="1"/>
        <item x="3"/>
        <item x="6"/>
        <item t="default"/>
      </items>
    </pivotField>
    <pivotField multipleItemSelectionAllowed="1" showAll="0"/>
    <pivotField axis="axisRow" showAll="0">
      <items count="32">
        <item x="27"/>
        <item x="22"/>
        <item x="25"/>
        <item x="21"/>
        <item x="19"/>
        <item x="26"/>
        <item x="23"/>
        <item x="28"/>
        <item x="24"/>
        <item x="16"/>
        <item x="10"/>
        <item x="5"/>
        <item x="17"/>
        <item x="20"/>
        <item x="13"/>
        <item x="1"/>
        <item x="12"/>
        <item x="6"/>
        <item x="2"/>
        <item x="7"/>
        <item x="8"/>
        <item x="11"/>
        <item x="14"/>
        <item x="4"/>
        <item x="15"/>
        <item x="0"/>
        <item x="3"/>
        <item x="9"/>
        <item x="18"/>
        <item x="29"/>
        <item h="1" x="30"/>
        <item t="default"/>
      </items>
    </pivotField>
    <pivotField showAll="0"/>
    <pivotField showAll="0"/>
    <pivotField multipleItemSelectionAllowed="1" showAll="0"/>
    <pivotField showAll="0"/>
    <pivotField showAll="0"/>
    <pivotField showAll="0"/>
    <pivotField showAll="0"/>
  </pivotFields>
  <rowFields count="1">
    <field x="4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" hier="-1"/>
  </pageFields>
  <dataFields count="1">
    <dataField name="Count of Country" fld="0" subtotal="count" baseField="4" baseItem="0"/>
  </dataFields>
  <chartFormats count="6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5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7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8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9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0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1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2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3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4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5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6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7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8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9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0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3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3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3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3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3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3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4" format="5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4" format="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4" format="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4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4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4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3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3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3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3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3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3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8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8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8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8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8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8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6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6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:D9" firstHeaderRow="1" firstDataRow="2" firstDataCol="1" rowPageCount="1" colPageCount="1"/>
  <pivotFields count="12">
    <pivotField axis="axisRow" dataField="1" showAl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133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m="1" x="13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61"/>
        <item x="62"/>
        <item t="default"/>
      </items>
    </pivotField>
    <pivotField showAll="0"/>
    <pivotField axis="axisCol" showAll="0">
      <items count="7">
        <item x="4"/>
        <item x="0"/>
        <item x="5"/>
        <item x="2"/>
        <item x="1"/>
        <item x="3"/>
        <item t="default"/>
      </items>
    </pivotField>
    <pivotField showAll="0"/>
    <pivotField axis="axisRow" showAll="0">
      <items count="31">
        <item x="27"/>
        <item h="1" x="22"/>
        <item h="1" x="25"/>
        <item h="1" x="21"/>
        <item h="1" x="19"/>
        <item h="1" x="26"/>
        <item h="1" x="23"/>
        <item h="1" x="28"/>
        <item h="1" x="24"/>
        <item h="1" x="16"/>
        <item h="1" x="10"/>
        <item h="1" sd="0" x="5"/>
        <item h="1" x="17"/>
        <item h="1" x="20"/>
        <item h="1" x="13"/>
        <item h="1" x="1"/>
        <item h="1" x="12"/>
        <item h="1" x="6"/>
        <item h="1" x="2"/>
        <item h="1" x="7"/>
        <item h="1" x="8"/>
        <item h="1" x="11"/>
        <item h="1" x="14"/>
        <item h="1" x="4"/>
        <item h="1" x="15"/>
        <item h="1" x="0"/>
        <item h="1" x="3"/>
        <item h="1" x="9"/>
        <item h="1" x="18"/>
        <item h="1" x="29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multipleItemSelectionAllowed="1" showAll="0">
      <items count="26">
        <item x="3"/>
        <item x="0"/>
        <item x="2"/>
        <item x="1"/>
        <item x="7"/>
        <item x="6"/>
        <item x="5"/>
        <item x="9"/>
        <item x="4"/>
        <item x="8"/>
        <item x="12"/>
        <item x="10"/>
        <item x="11"/>
        <item x="13"/>
        <item x="19"/>
        <item x="15"/>
        <item x="18"/>
        <item x="17"/>
        <item x="14"/>
        <item x="16"/>
        <item x="24"/>
        <item x="23"/>
        <item x="22"/>
        <item x="21"/>
        <item x="20"/>
        <item t="default"/>
      </items>
    </pivotField>
    <pivotField showAll="0">
      <items count="3">
        <item x="0"/>
        <item x="1"/>
        <item t="default"/>
      </items>
    </pivotField>
  </pivotFields>
  <rowFields count="2">
    <field x="4"/>
    <field x="0"/>
  </rowFields>
  <rowItems count="5">
    <i>
      <x/>
    </i>
    <i r="1">
      <x v="32"/>
    </i>
    <i r="1">
      <x v="38"/>
    </i>
    <i r="1">
      <x v="93"/>
    </i>
    <i t="grand">
      <x/>
    </i>
  </rowItems>
  <colFields count="1">
    <field x="2"/>
  </colFields>
  <colItems count="3">
    <i>
      <x v="1"/>
    </i>
    <i>
      <x v="3"/>
    </i>
    <i t="grand">
      <x/>
    </i>
  </colItems>
  <pageFields count="1">
    <pageField fld="5" hier="-1"/>
  </pageFields>
  <dataFields count="1">
    <dataField name="Count of Country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ountry">
  <location ref="A1:H136" firstHeaderRow="1" firstDataRow="2" firstDataCol="1"/>
  <pivotFields count="12">
    <pivotField axis="axisRow" showAl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133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m="1" x="13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61"/>
        <item x="62"/>
        <item t="default"/>
      </items>
    </pivotField>
    <pivotField showAll="0"/>
    <pivotField axis="axisCol" dataField="1" showAll="0">
      <items count="7">
        <item x="4"/>
        <item x="0"/>
        <item x="5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Survey type" fld="2" subtotal="count" baseField="0" baseItem="0"/>
  </dataFields>
  <formats count="15">
    <format dxfId="1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2">
      <pivotArea dataOnly="0" labelOnly="1" fieldPosition="0">
        <references count="1">
          <reference field="0" count="33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11">
      <pivotArea dataOnly="0" labelOnly="1" grandRow="1" outline="0" fieldPosition="0"/>
    </format>
    <format dxfId="10">
      <pivotArea grandCol="1" outline="0" collapsedLevelsAreSubtotals="1" fieldPosition="0"/>
    </format>
    <format dxfId="9">
      <pivotArea dataOnly="0" labelOnly="1" grandCol="1" outline="0" fieldPosition="0"/>
    </format>
    <format dxfId="8">
      <pivotArea grandCol="1"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">
      <pivotArea dataOnly="0" labelOnly="1" fieldPosition="0">
        <references count="1">
          <reference field="0" count="33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ldinfo.org/mics_available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catalog.ihsn.org/index.php/catalo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o.int/healthinfo/survey/en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apfam.org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rinterSettings" Target="../printerSettings/printerSettings3.bin"/><Relationship Id="rId3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research.worldbank.org/lsms/lsmssurveyFinder.htm" TargetMode="External"/><Relationship Id="rId4" Type="http://schemas.openxmlformats.org/officeDocument/2006/relationships/drawing" Target="../drawings/drawing2.xml"/><Relationship Id="rId1" Type="http://schemas.openxmlformats.org/officeDocument/2006/relationships/hyperlink" Target="http://iresearch.worldbank.org/lsms/lsmssurveyFinder.htm" TargetMode="External"/><Relationship Id="rId2" Type="http://schemas.openxmlformats.org/officeDocument/2006/relationships/hyperlink" Target="http://www.childinfo.org/mics_available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asuredhs.com/What-We-Do/survey-search.cfm?pgtype=main&amp;SrvyTp=yea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iresearch.worldbank.org/lsms/lsmssurveyFinder.htm" TargetMode="External"/><Relationship Id="rId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"/>
  <sheetViews>
    <sheetView showGridLines="0" workbookViewId="0">
      <selection activeCell="D34" sqref="D34"/>
    </sheetView>
  </sheetViews>
  <sheetFormatPr baseColWidth="10" defaultColWidth="11" defaultRowHeight="16" x14ac:dyDescent="0.2"/>
  <sheetData/>
  <phoneticPr fontId="12" type="noConversion"/>
  <pageMargins left="0.75" right="0.75" top="1" bottom="1" header="0.5" footer="0.5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showGridLines="0" zoomScale="85" zoomScaleNormal="85" zoomScalePageLayoutView="85" workbookViewId="0">
      <pane ySplit="7" topLeftCell="A197" activePane="bottomLeft" state="frozen"/>
      <selection pane="bottomLeft" activeCell="F215" sqref="F215"/>
    </sheetView>
  </sheetViews>
  <sheetFormatPr baseColWidth="10" defaultColWidth="11" defaultRowHeight="16" x14ac:dyDescent="0.2"/>
  <cols>
    <col min="1" max="1" width="25.6640625" customWidth="1"/>
    <col min="2" max="2" width="16.83203125" customWidth="1"/>
    <col min="4" max="4" width="2.5" customWidth="1"/>
    <col min="5" max="5" width="14" bestFit="1" customWidth="1"/>
    <col min="8" max="8" width="33.1640625" hidden="1" customWidth="1"/>
  </cols>
  <sheetData>
    <row r="1" spans="1:9" ht="24" x14ac:dyDescent="0.3">
      <c r="A1" s="4" t="s">
        <v>184</v>
      </c>
      <c r="B1" s="4"/>
      <c r="C1" s="3"/>
    </row>
    <row r="2" spans="1:9" x14ac:dyDescent="0.2">
      <c r="A2" s="3" t="s">
        <v>138</v>
      </c>
      <c r="B2" s="27" t="s">
        <v>153</v>
      </c>
      <c r="C2" s="3"/>
    </row>
    <row r="3" spans="1:9" x14ac:dyDescent="0.2">
      <c r="A3" s="5" t="s">
        <v>139</v>
      </c>
      <c r="B3" s="6" t="s">
        <v>141</v>
      </c>
    </row>
    <row r="4" spans="1:9" x14ac:dyDescent="0.2">
      <c r="A4" s="7"/>
      <c r="B4" s="8" t="s">
        <v>144</v>
      </c>
    </row>
    <row r="5" spans="1:9" x14ac:dyDescent="0.2">
      <c r="A5" s="9"/>
      <c r="B5" s="19" t="s">
        <v>140</v>
      </c>
    </row>
    <row r="6" spans="1:9" x14ac:dyDescent="0.2">
      <c r="A6" t="s">
        <v>178</v>
      </c>
      <c r="B6" t="s">
        <v>374</v>
      </c>
    </row>
    <row r="7" spans="1:9" ht="37" customHeight="1" x14ac:dyDescent="0.2">
      <c r="A7" s="15" t="s">
        <v>3</v>
      </c>
      <c r="B7" s="15" t="s">
        <v>0</v>
      </c>
      <c r="C7" s="15" t="s">
        <v>179</v>
      </c>
      <c r="D7" s="15" t="s">
        <v>181</v>
      </c>
      <c r="E7" s="15" t="s">
        <v>180</v>
      </c>
      <c r="F7" s="15" t="s">
        <v>182</v>
      </c>
      <c r="G7" s="15" t="s">
        <v>147</v>
      </c>
      <c r="H7" s="24" t="s">
        <v>245</v>
      </c>
      <c r="I7" s="15" t="s">
        <v>188</v>
      </c>
    </row>
    <row r="8" spans="1:9" x14ac:dyDescent="0.2">
      <c r="A8" t="s">
        <v>87</v>
      </c>
      <c r="B8" t="s">
        <v>171</v>
      </c>
      <c r="C8" s="14">
        <v>2</v>
      </c>
      <c r="D8" s="14">
        <v>2000</v>
      </c>
      <c r="E8" s="14">
        <v>2000</v>
      </c>
      <c r="F8" s="99">
        <f t="shared" ref="F8:F71" si="0">COUNTIF(B$8:B$213,B8)</f>
        <v>3</v>
      </c>
      <c r="G8">
        <v>1</v>
      </c>
      <c r="H8" t="str">
        <f t="shared" ref="H8:H34" si="1">IF(G8=1,B8,"")</f>
        <v>Afghanistan</v>
      </c>
    </row>
    <row r="9" spans="1:9" x14ac:dyDescent="0.2">
      <c r="A9" t="s">
        <v>87</v>
      </c>
      <c r="B9" t="s">
        <v>171</v>
      </c>
      <c r="C9" s="14">
        <v>2</v>
      </c>
      <c r="D9" s="14">
        <v>2003</v>
      </c>
      <c r="E9" s="14">
        <v>2003</v>
      </c>
      <c r="F9" s="99">
        <f t="shared" si="0"/>
        <v>3</v>
      </c>
      <c r="G9" s="14">
        <v>0</v>
      </c>
      <c r="H9" t="str">
        <f t="shared" si="1"/>
        <v/>
      </c>
    </row>
    <row r="10" spans="1:9" x14ac:dyDescent="0.2">
      <c r="A10" t="s">
        <v>87</v>
      </c>
      <c r="B10" t="s">
        <v>171</v>
      </c>
      <c r="C10" s="14">
        <v>4</v>
      </c>
      <c r="D10" s="14">
        <v>2010</v>
      </c>
      <c r="E10" s="14">
        <v>2011</v>
      </c>
      <c r="F10" s="99">
        <f t="shared" si="0"/>
        <v>3</v>
      </c>
      <c r="G10" s="14">
        <v>0</v>
      </c>
      <c r="H10" t="str">
        <f t="shared" si="1"/>
        <v/>
      </c>
    </row>
    <row r="11" spans="1:9" x14ac:dyDescent="0.2">
      <c r="A11" t="s">
        <v>154</v>
      </c>
      <c r="B11" t="s">
        <v>20</v>
      </c>
      <c r="C11" s="14">
        <v>2</v>
      </c>
      <c r="D11" s="14">
        <v>2000</v>
      </c>
      <c r="E11" s="14">
        <v>2000</v>
      </c>
      <c r="F11" s="99">
        <f t="shared" si="0"/>
        <v>2</v>
      </c>
      <c r="G11">
        <v>1</v>
      </c>
      <c r="H11" t="str">
        <f t="shared" si="1"/>
        <v>Albania</v>
      </c>
    </row>
    <row r="12" spans="1:9" x14ac:dyDescent="0.2">
      <c r="A12" t="s">
        <v>154</v>
      </c>
      <c r="B12" t="s">
        <v>20</v>
      </c>
      <c r="C12" s="14">
        <v>3</v>
      </c>
      <c r="D12" s="14">
        <v>2005</v>
      </c>
      <c r="E12" s="14">
        <v>2005</v>
      </c>
      <c r="F12" s="99">
        <f t="shared" si="0"/>
        <v>2</v>
      </c>
      <c r="G12" s="14">
        <v>0</v>
      </c>
      <c r="H12" t="str">
        <f t="shared" si="1"/>
        <v/>
      </c>
    </row>
    <row r="13" spans="1:9" x14ac:dyDescent="0.2">
      <c r="A13" t="s">
        <v>74</v>
      </c>
      <c r="B13" t="s">
        <v>75</v>
      </c>
      <c r="C13" s="14">
        <v>1</v>
      </c>
      <c r="D13" s="14">
        <v>1995</v>
      </c>
      <c r="E13" s="14">
        <v>1995</v>
      </c>
      <c r="F13" s="99">
        <f t="shared" si="0"/>
        <v>5</v>
      </c>
      <c r="G13">
        <v>1</v>
      </c>
      <c r="H13" t="str">
        <f t="shared" si="1"/>
        <v>Algeria</v>
      </c>
    </row>
    <row r="14" spans="1:9" x14ac:dyDescent="0.2">
      <c r="A14" t="s">
        <v>74</v>
      </c>
      <c r="B14" t="s">
        <v>75</v>
      </c>
      <c r="C14" s="14">
        <v>2</v>
      </c>
      <c r="D14" s="14">
        <v>2000</v>
      </c>
      <c r="E14" s="14">
        <v>2000</v>
      </c>
      <c r="F14" s="99">
        <f t="shared" si="0"/>
        <v>5</v>
      </c>
      <c r="G14" s="14">
        <v>0</v>
      </c>
      <c r="H14" t="str">
        <f t="shared" si="1"/>
        <v/>
      </c>
    </row>
    <row r="15" spans="1:9" x14ac:dyDescent="0.2">
      <c r="A15" t="s">
        <v>74</v>
      </c>
      <c r="B15" t="s">
        <v>75</v>
      </c>
      <c r="C15" s="14">
        <v>3</v>
      </c>
      <c r="D15" s="14">
        <v>2006</v>
      </c>
      <c r="E15" s="14">
        <v>2006</v>
      </c>
      <c r="F15" s="99">
        <f t="shared" si="0"/>
        <v>5</v>
      </c>
      <c r="G15" s="14">
        <v>0</v>
      </c>
      <c r="H15" t="str">
        <f t="shared" si="1"/>
        <v/>
      </c>
    </row>
    <row r="16" spans="1:9" x14ac:dyDescent="0.2">
      <c r="A16" t="s">
        <v>74</v>
      </c>
      <c r="B16" t="s">
        <v>75</v>
      </c>
      <c r="C16" s="14">
        <v>4</v>
      </c>
      <c r="D16" s="14">
        <v>2012</v>
      </c>
      <c r="E16" s="14">
        <v>2012</v>
      </c>
      <c r="F16" s="99">
        <f t="shared" si="0"/>
        <v>5</v>
      </c>
      <c r="G16" s="14">
        <v>0</v>
      </c>
      <c r="H16" t="str">
        <f t="shared" si="1"/>
        <v/>
      </c>
    </row>
    <row r="17" spans="1:9" x14ac:dyDescent="0.2">
      <c r="A17" s="97" t="s">
        <v>74</v>
      </c>
      <c r="B17" s="97" t="s">
        <v>75</v>
      </c>
      <c r="C17" s="98">
        <v>4</v>
      </c>
      <c r="D17" s="98">
        <v>2012</v>
      </c>
      <c r="E17" s="98">
        <v>2013</v>
      </c>
      <c r="F17" s="99">
        <f t="shared" si="0"/>
        <v>5</v>
      </c>
      <c r="G17" s="98">
        <v>0</v>
      </c>
      <c r="H17" s="97" t="str">
        <f t="shared" si="1"/>
        <v/>
      </c>
      <c r="I17" s="97"/>
    </row>
    <row r="18" spans="1:9" x14ac:dyDescent="0.2">
      <c r="A18" t="s">
        <v>165</v>
      </c>
      <c r="B18" t="s">
        <v>94</v>
      </c>
      <c r="C18" s="14">
        <v>1</v>
      </c>
      <c r="D18" s="14">
        <v>1996</v>
      </c>
      <c r="E18" s="14">
        <v>1996</v>
      </c>
      <c r="F18" s="99">
        <f t="shared" si="0"/>
        <v>2</v>
      </c>
      <c r="G18">
        <v>1</v>
      </c>
      <c r="H18" t="str">
        <f t="shared" si="1"/>
        <v>Angola</v>
      </c>
    </row>
    <row r="19" spans="1:9" x14ac:dyDescent="0.2">
      <c r="A19" t="s">
        <v>165</v>
      </c>
      <c r="B19" t="s">
        <v>94</v>
      </c>
      <c r="C19" s="14">
        <v>2</v>
      </c>
      <c r="D19" s="14">
        <v>2001</v>
      </c>
      <c r="E19" s="14">
        <v>2001</v>
      </c>
      <c r="F19" s="99">
        <f t="shared" si="0"/>
        <v>2</v>
      </c>
      <c r="G19" s="14">
        <v>0</v>
      </c>
      <c r="H19" t="str">
        <f t="shared" si="1"/>
        <v/>
      </c>
    </row>
    <row r="20" spans="1:9" x14ac:dyDescent="0.2">
      <c r="A20" s="3" t="s">
        <v>172</v>
      </c>
      <c r="B20" t="s">
        <v>48</v>
      </c>
      <c r="C20" s="14">
        <v>4</v>
      </c>
      <c r="D20" s="14">
        <v>2011</v>
      </c>
      <c r="E20" s="14">
        <v>2012</v>
      </c>
      <c r="F20" s="99">
        <f t="shared" si="0"/>
        <v>1</v>
      </c>
      <c r="G20" s="14">
        <v>1</v>
      </c>
      <c r="H20" t="str">
        <f t="shared" si="1"/>
        <v>Argentina</v>
      </c>
    </row>
    <row r="21" spans="1:9" x14ac:dyDescent="0.2">
      <c r="A21" t="s">
        <v>154</v>
      </c>
      <c r="B21" t="s">
        <v>22</v>
      </c>
      <c r="C21" s="14">
        <v>2</v>
      </c>
      <c r="D21" s="14">
        <v>2000</v>
      </c>
      <c r="E21" s="14">
        <v>2000</v>
      </c>
      <c r="F21" s="99">
        <f t="shared" si="0"/>
        <v>1</v>
      </c>
      <c r="G21">
        <v>1</v>
      </c>
      <c r="H21" t="str">
        <f t="shared" si="1"/>
        <v>Azerbaijan</v>
      </c>
    </row>
    <row r="22" spans="1:9" x14ac:dyDescent="0.2">
      <c r="A22" t="s">
        <v>87</v>
      </c>
      <c r="B22" t="s">
        <v>86</v>
      </c>
      <c r="C22" s="14">
        <v>1</v>
      </c>
      <c r="D22" s="14">
        <v>1996</v>
      </c>
      <c r="E22" s="14">
        <v>1996</v>
      </c>
      <c r="F22" s="99">
        <f t="shared" si="0"/>
        <v>3</v>
      </c>
      <c r="G22">
        <v>1</v>
      </c>
      <c r="H22" t="str">
        <f t="shared" si="1"/>
        <v>Bangladesh</v>
      </c>
    </row>
    <row r="23" spans="1:9" x14ac:dyDescent="0.2">
      <c r="A23" t="s">
        <v>87</v>
      </c>
      <c r="B23" t="s">
        <v>86</v>
      </c>
      <c r="C23" s="14">
        <v>3</v>
      </c>
      <c r="D23" s="14">
        <v>2006</v>
      </c>
      <c r="E23" s="14">
        <v>2006</v>
      </c>
      <c r="F23" s="99">
        <f t="shared" si="0"/>
        <v>3</v>
      </c>
      <c r="G23" s="14">
        <v>0</v>
      </c>
      <c r="H23" t="str">
        <f t="shared" si="1"/>
        <v/>
      </c>
    </row>
    <row r="24" spans="1:9" x14ac:dyDescent="0.2">
      <c r="A24" t="s">
        <v>87</v>
      </c>
      <c r="B24" t="s">
        <v>86</v>
      </c>
      <c r="C24" s="14">
        <v>5</v>
      </c>
      <c r="D24" s="14">
        <v>2012</v>
      </c>
      <c r="E24" s="14">
        <v>2013</v>
      </c>
      <c r="F24" s="99">
        <f t="shared" si="0"/>
        <v>3</v>
      </c>
      <c r="G24" s="14">
        <v>0</v>
      </c>
      <c r="H24" t="str">
        <f t="shared" si="1"/>
        <v/>
      </c>
    </row>
    <row r="25" spans="1:9" x14ac:dyDescent="0.2">
      <c r="A25" s="101" t="s">
        <v>172</v>
      </c>
      <c r="B25" s="43" t="s">
        <v>339</v>
      </c>
      <c r="C25" s="102">
        <v>4</v>
      </c>
      <c r="D25" s="102">
        <v>2012</v>
      </c>
      <c r="E25" s="102">
        <v>2012</v>
      </c>
      <c r="F25" s="99">
        <f t="shared" si="0"/>
        <v>1</v>
      </c>
      <c r="G25" s="102">
        <v>1</v>
      </c>
      <c r="H25" s="43" t="str">
        <f t="shared" si="1"/>
        <v>Barbados</v>
      </c>
      <c r="I25" s="43"/>
    </row>
    <row r="26" spans="1:9" x14ac:dyDescent="0.2">
      <c r="A26" t="s">
        <v>154</v>
      </c>
      <c r="B26" t="s">
        <v>23</v>
      </c>
      <c r="C26" s="14">
        <v>3</v>
      </c>
      <c r="D26" s="14">
        <v>2005</v>
      </c>
      <c r="E26" s="14">
        <v>2005</v>
      </c>
      <c r="F26" s="99">
        <f t="shared" si="0"/>
        <v>2</v>
      </c>
      <c r="G26">
        <v>1</v>
      </c>
      <c r="H26" t="str">
        <f t="shared" si="1"/>
        <v>Belarus</v>
      </c>
    </row>
    <row r="27" spans="1:9" x14ac:dyDescent="0.2">
      <c r="A27" t="s">
        <v>154</v>
      </c>
      <c r="B27" t="s">
        <v>23</v>
      </c>
      <c r="C27" s="14">
        <v>4</v>
      </c>
      <c r="D27" s="14">
        <v>2012</v>
      </c>
      <c r="E27" s="14">
        <v>2012</v>
      </c>
      <c r="F27" s="99">
        <f t="shared" si="0"/>
        <v>2</v>
      </c>
      <c r="G27" s="35">
        <v>0</v>
      </c>
      <c r="H27" t="str">
        <f t="shared" si="1"/>
        <v/>
      </c>
    </row>
    <row r="28" spans="1:9" x14ac:dyDescent="0.2">
      <c r="A28" s="3" t="s">
        <v>172</v>
      </c>
      <c r="B28" t="s">
        <v>50</v>
      </c>
      <c r="C28" s="14">
        <v>3</v>
      </c>
      <c r="D28" s="14">
        <v>2006</v>
      </c>
      <c r="E28" s="14">
        <v>2006</v>
      </c>
      <c r="F28" s="99">
        <f t="shared" si="0"/>
        <v>2</v>
      </c>
      <c r="G28">
        <v>1</v>
      </c>
      <c r="H28" t="str">
        <f t="shared" si="1"/>
        <v>Belize</v>
      </c>
    </row>
    <row r="29" spans="1:9" x14ac:dyDescent="0.2">
      <c r="A29" s="3" t="s">
        <v>172</v>
      </c>
      <c r="B29" t="s">
        <v>50</v>
      </c>
      <c r="C29" s="14">
        <v>4</v>
      </c>
      <c r="D29" s="14">
        <v>2011</v>
      </c>
      <c r="E29" s="14">
        <v>2011</v>
      </c>
      <c r="F29" s="99">
        <f t="shared" si="0"/>
        <v>2</v>
      </c>
      <c r="G29" s="14">
        <v>0</v>
      </c>
      <c r="H29" t="str">
        <f t="shared" si="1"/>
        <v/>
      </c>
    </row>
    <row r="30" spans="1:9" x14ac:dyDescent="0.2">
      <c r="A30" t="s">
        <v>87</v>
      </c>
      <c r="B30" t="s">
        <v>88</v>
      </c>
      <c r="C30" s="14">
        <v>4</v>
      </c>
      <c r="D30" s="14">
        <v>2010</v>
      </c>
      <c r="E30" s="14">
        <v>2010</v>
      </c>
      <c r="F30" s="99">
        <f t="shared" si="0"/>
        <v>1</v>
      </c>
      <c r="G30">
        <v>1</v>
      </c>
      <c r="H30" t="str">
        <f t="shared" si="1"/>
        <v>Bhutan</v>
      </c>
    </row>
    <row r="31" spans="1:9" x14ac:dyDescent="0.2">
      <c r="A31" s="3" t="s">
        <v>172</v>
      </c>
      <c r="B31" t="s">
        <v>51</v>
      </c>
      <c r="C31" s="14">
        <v>2</v>
      </c>
      <c r="D31" s="14">
        <v>2000</v>
      </c>
      <c r="E31" s="14">
        <v>2000</v>
      </c>
      <c r="F31" s="99">
        <f t="shared" si="0"/>
        <v>1</v>
      </c>
      <c r="G31">
        <v>1</v>
      </c>
      <c r="H31" t="str">
        <f t="shared" si="1"/>
        <v>Bolivia</v>
      </c>
    </row>
    <row r="32" spans="1:9" x14ac:dyDescent="0.2">
      <c r="A32" t="s">
        <v>154</v>
      </c>
      <c r="B32" t="s">
        <v>24</v>
      </c>
      <c r="C32" s="14">
        <v>2</v>
      </c>
      <c r="D32" s="14">
        <v>2000</v>
      </c>
      <c r="E32" s="14">
        <v>2000</v>
      </c>
      <c r="F32" s="99">
        <f t="shared" si="0"/>
        <v>3</v>
      </c>
      <c r="G32">
        <v>1</v>
      </c>
      <c r="H32" t="str">
        <f t="shared" si="1"/>
        <v>Bosnia and Herzegovina</v>
      </c>
    </row>
    <row r="33" spans="1:9" x14ac:dyDescent="0.2">
      <c r="A33" t="s">
        <v>154</v>
      </c>
      <c r="B33" t="s">
        <v>24</v>
      </c>
      <c r="C33" s="14">
        <v>3</v>
      </c>
      <c r="D33" s="14">
        <v>2006</v>
      </c>
      <c r="E33" s="14">
        <v>2006</v>
      </c>
      <c r="F33" s="99">
        <f t="shared" si="0"/>
        <v>3</v>
      </c>
      <c r="G33" s="14">
        <v>0</v>
      </c>
      <c r="H33" t="str">
        <f t="shared" si="1"/>
        <v/>
      </c>
    </row>
    <row r="34" spans="1:9" x14ac:dyDescent="0.2">
      <c r="A34" t="s">
        <v>154</v>
      </c>
      <c r="B34" t="s">
        <v>24</v>
      </c>
      <c r="C34" s="14">
        <v>4</v>
      </c>
      <c r="D34" s="14">
        <v>2011</v>
      </c>
      <c r="E34" s="14">
        <v>2012</v>
      </c>
      <c r="F34" s="99">
        <f t="shared" si="0"/>
        <v>3</v>
      </c>
      <c r="G34">
        <v>0</v>
      </c>
      <c r="H34" t="str">
        <f t="shared" si="1"/>
        <v/>
      </c>
    </row>
    <row r="35" spans="1:9" x14ac:dyDescent="0.2">
      <c r="A35" t="s">
        <v>154</v>
      </c>
      <c r="B35" t="s">
        <v>155</v>
      </c>
      <c r="C35" s="14">
        <v>4</v>
      </c>
      <c r="D35" s="14">
        <v>2011</v>
      </c>
      <c r="E35" s="14">
        <v>2012</v>
      </c>
      <c r="F35" s="99">
        <f t="shared" si="0"/>
        <v>1</v>
      </c>
      <c r="G35" s="14">
        <v>0</v>
      </c>
      <c r="I35" t="s">
        <v>490</v>
      </c>
    </row>
    <row r="36" spans="1:9" x14ac:dyDescent="0.2">
      <c r="A36" t="s">
        <v>165</v>
      </c>
      <c r="B36" t="s">
        <v>97</v>
      </c>
      <c r="C36" s="14">
        <v>2</v>
      </c>
      <c r="D36" s="14">
        <v>2000</v>
      </c>
      <c r="E36" s="14">
        <v>2000</v>
      </c>
      <c r="F36" s="99">
        <f t="shared" si="0"/>
        <v>1</v>
      </c>
      <c r="G36">
        <v>1</v>
      </c>
      <c r="H36" t="str">
        <f t="shared" ref="H36:H67" si="2">IF(G36=1,B36,"")</f>
        <v>Botswana</v>
      </c>
    </row>
    <row r="37" spans="1:9" x14ac:dyDescent="0.2">
      <c r="A37" t="s">
        <v>174</v>
      </c>
      <c r="B37" t="s">
        <v>98</v>
      </c>
      <c r="C37" s="14">
        <v>3</v>
      </c>
      <c r="D37" s="14">
        <v>2006</v>
      </c>
      <c r="E37" s="14">
        <v>2006</v>
      </c>
      <c r="F37" s="99">
        <f t="shared" si="0"/>
        <v>1</v>
      </c>
      <c r="G37">
        <v>1</v>
      </c>
      <c r="H37" t="str">
        <f t="shared" si="2"/>
        <v>Burkina Faso</v>
      </c>
    </row>
    <row r="38" spans="1:9" x14ac:dyDescent="0.2">
      <c r="A38" t="s">
        <v>165</v>
      </c>
      <c r="B38" t="s">
        <v>99</v>
      </c>
      <c r="C38" s="14">
        <v>2</v>
      </c>
      <c r="D38" s="14">
        <v>2000</v>
      </c>
      <c r="E38" s="14">
        <v>2000</v>
      </c>
      <c r="F38" s="99">
        <f t="shared" si="0"/>
        <v>2</v>
      </c>
      <c r="G38">
        <v>1</v>
      </c>
      <c r="H38" t="str">
        <f t="shared" si="2"/>
        <v>Burundi</v>
      </c>
    </row>
    <row r="39" spans="1:9" x14ac:dyDescent="0.2">
      <c r="A39" t="s">
        <v>165</v>
      </c>
      <c r="B39" t="s">
        <v>99</v>
      </c>
      <c r="C39" s="14">
        <v>3</v>
      </c>
      <c r="D39" s="14">
        <v>2005</v>
      </c>
      <c r="E39" s="14">
        <v>2005</v>
      </c>
      <c r="F39" s="99">
        <f t="shared" si="0"/>
        <v>2</v>
      </c>
      <c r="G39" s="14">
        <v>0</v>
      </c>
      <c r="H39" t="str">
        <f t="shared" si="2"/>
        <v/>
      </c>
    </row>
    <row r="40" spans="1:9" x14ac:dyDescent="0.2">
      <c r="A40" t="s">
        <v>174</v>
      </c>
      <c r="B40" t="s">
        <v>100</v>
      </c>
      <c r="C40" s="14">
        <v>2</v>
      </c>
      <c r="D40" s="14">
        <v>2000</v>
      </c>
      <c r="E40" s="14">
        <v>2000</v>
      </c>
      <c r="F40" s="99">
        <f t="shared" si="0"/>
        <v>2</v>
      </c>
      <c r="G40">
        <v>1</v>
      </c>
      <c r="H40" t="str">
        <f t="shared" si="2"/>
        <v>Cameroon</v>
      </c>
    </row>
    <row r="41" spans="1:9" x14ac:dyDescent="0.2">
      <c r="A41" t="s">
        <v>174</v>
      </c>
      <c r="B41" t="s">
        <v>100</v>
      </c>
      <c r="C41" s="14">
        <v>3</v>
      </c>
      <c r="D41" s="14">
        <v>2006</v>
      </c>
      <c r="E41" s="14">
        <v>2006</v>
      </c>
      <c r="F41" s="99">
        <f t="shared" si="0"/>
        <v>2</v>
      </c>
      <c r="G41" s="14">
        <v>0</v>
      </c>
      <c r="H41" t="str">
        <f t="shared" si="2"/>
        <v/>
      </c>
    </row>
    <row r="42" spans="1:9" x14ac:dyDescent="0.2">
      <c r="A42" t="s">
        <v>174</v>
      </c>
      <c r="B42" t="s">
        <v>102</v>
      </c>
      <c r="C42" s="14">
        <v>2</v>
      </c>
      <c r="D42" s="14">
        <v>2000</v>
      </c>
      <c r="E42" s="14">
        <v>2000</v>
      </c>
      <c r="F42" s="99">
        <f t="shared" si="0"/>
        <v>3</v>
      </c>
      <c r="G42">
        <v>1</v>
      </c>
      <c r="H42" t="str">
        <f t="shared" si="2"/>
        <v>Central African Republic</v>
      </c>
    </row>
    <row r="43" spans="1:9" x14ac:dyDescent="0.2">
      <c r="A43" t="s">
        <v>174</v>
      </c>
      <c r="B43" t="s">
        <v>102</v>
      </c>
      <c r="C43" s="14">
        <v>3</v>
      </c>
      <c r="D43" s="14">
        <v>2006</v>
      </c>
      <c r="E43" s="14">
        <v>2006</v>
      </c>
      <c r="F43" s="99">
        <f t="shared" si="0"/>
        <v>3</v>
      </c>
      <c r="G43" s="14">
        <v>0</v>
      </c>
      <c r="H43" t="str">
        <f t="shared" si="2"/>
        <v/>
      </c>
    </row>
    <row r="44" spans="1:9" x14ac:dyDescent="0.2">
      <c r="A44" t="s">
        <v>174</v>
      </c>
      <c r="B44" t="s">
        <v>102</v>
      </c>
      <c r="C44" s="14">
        <v>4</v>
      </c>
      <c r="D44" s="14">
        <v>2010</v>
      </c>
      <c r="E44" s="14">
        <v>2010</v>
      </c>
      <c r="F44" s="99">
        <f t="shared" si="0"/>
        <v>3</v>
      </c>
      <c r="G44" s="14">
        <v>0</v>
      </c>
      <c r="H44" t="str">
        <f t="shared" si="2"/>
        <v/>
      </c>
    </row>
    <row r="45" spans="1:9" x14ac:dyDescent="0.2">
      <c r="A45" t="s">
        <v>174</v>
      </c>
      <c r="B45" t="s">
        <v>103</v>
      </c>
      <c r="C45" s="14">
        <v>2</v>
      </c>
      <c r="D45" s="14">
        <v>2000</v>
      </c>
      <c r="E45" s="14">
        <v>2000</v>
      </c>
      <c r="F45" s="99">
        <f t="shared" si="0"/>
        <v>2</v>
      </c>
      <c r="G45">
        <v>1</v>
      </c>
      <c r="H45" t="str">
        <f t="shared" si="2"/>
        <v>Chad</v>
      </c>
    </row>
    <row r="46" spans="1:9" x14ac:dyDescent="0.2">
      <c r="A46" t="s">
        <v>174</v>
      </c>
      <c r="B46" t="s">
        <v>103</v>
      </c>
      <c r="C46" s="14">
        <v>4</v>
      </c>
      <c r="D46" s="14">
        <v>2010</v>
      </c>
      <c r="E46" s="14">
        <v>2010</v>
      </c>
      <c r="F46" s="99">
        <f t="shared" si="0"/>
        <v>2</v>
      </c>
      <c r="G46" s="14">
        <v>0</v>
      </c>
      <c r="H46" t="str">
        <f t="shared" si="2"/>
        <v/>
      </c>
    </row>
    <row r="47" spans="1:9" x14ac:dyDescent="0.2">
      <c r="A47" t="s">
        <v>165</v>
      </c>
      <c r="B47" t="s">
        <v>104</v>
      </c>
      <c r="C47" s="14">
        <v>2</v>
      </c>
      <c r="D47" s="14">
        <v>2000</v>
      </c>
      <c r="E47" s="14">
        <v>2000</v>
      </c>
      <c r="F47" s="99">
        <f t="shared" si="0"/>
        <v>1</v>
      </c>
      <c r="G47">
        <v>1</v>
      </c>
      <c r="H47" t="str">
        <f t="shared" si="2"/>
        <v>Comoros</v>
      </c>
    </row>
    <row r="48" spans="1:9" x14ac:dyDescent="0.2">
      <c r="A48" t="s">
        <v>174</v>
      </c>
      <c r="B48" t="s">
        <v>176</v>
      </c>
      <c r="C48" s="14">
        <v>1</v>
      </c>
      <c r="D48" s="14">
        <v>1995</v>
      </c>
      <c r="E48" s="14">
        <v>1995</v>
      </c>
      <c r="F48" s="99">
        <f t="shared" si="0"/>
        <v>3</v>
      </c>
      <c r="G48">
        <v>1</v>
      </c>
      <c r="H48" t="str">
        <f t="shared" si="2"/>
        <v>Congo, Democratic Republic of the</v>
      </c>
    </row>
    <row r="49" spans="1:9" x14ac:dyDescent="0.2">
      <c r="A49" t="s">
        <v>174</v>
      </c>
      <c r="B49" t="s">
        <v>176</v>
      </c>
      <c r="C49" s="14">
        <v>2</v>
      </c>
      <c r="D49" s="14">
        <v>2001</v>
      </c>
      <c r="E49" s="14">
        <v>2001</v>
      </c>
      <c r="F49" s="99">
        <f t="shared" si="0"/>
        <v>3</v>
      </c>
      <c r="G49">
        <v>1</v>
      </c>
      <c r="H49" t="str">
        <f t="shared" si="2"/>
        <v>Congo, Democratic Republic of the</v>
      </c>
    </row>
    <row r="50" spans="1:9" x14ac:dyDescent="0.2">
      <c r="A50" t="s">
        <v>174</v>
      </c>
      <c r="B50" t="s">
        <v>176</v>
      </c>
      <c r="C50" s="14">
        <v>4</v>
      </c>
      <c r="D50" s="14">
        <v>2010</v>
      </c>
      <c r="E50" s="14">
        <v>2010</v>
      </c>
      <c r="F50" s="99">
        <f t="shared" si="0"/>
        <v>3</v>
      </c>
      <c r="G50" s="14">
        <v>0</v>
      </c>
      <c r="H50" t="str">
        <f t="shared" si="2"/>
        <v/>
      </c>
    </row>
    <row r="51" spans="1:9" x14ac:dyDescent="0.2">
      <c r="A51" s="3" t="s">
        <v>172</v>
      </c>
      <c r="B51" t="s">
        <v>55</v>
      </c>
      <c r="C51" s="14">
        <v>4</v>
      </c>
      <c r="D51" s="14">
        <v>2011</v>
      </c>
      <c r="E51" s="14">
        <v>2011</v>
      </c>
      <c r="F51" s="99">
        <f t="shared" si="0"/>
        <v>1</v>
      </c>
      <c r="G51" s="14">
        <v>1</v>
      </c>
      <c r="H51" t="str">
        <f t="shared" si="2"/>
        <v>Costa Rica</v>
      </c>
    </row>
    <row r="52" spans="1:9" x14ac:dyDescent="0.2">
      <c r="A52" t="s">
        <v>174</v>
      </c>
      <c r="B52" t="s">
        <v>175</v>
      </c>
      <c r="C52" s="14">
        <v>2</v>
      </c>
      <c r="D52" s="14">
        <v>2000</v>
      </c>
      <c r="E52" s="14">
        <v>2000</v>
      </c>
      <c r="F52" s="99">
        <f t="shared" si="0"/>
        <v>2</v>
      </c>
      <c r="G52">
        <v>1</v>
      </c>
      <c r="H52" t="str">
        <f t="shared" si="2"/>
        <v>Côte d'Ivoire</v>
      </c>
    </row>
    <row r="53" spans="1:9" x14ac:dyDescent="0.2">
      <c r="A53" t="s">
        <v>174</v>
      </c>
      <c r="B53" t="s">
        <v>175</v>
      </c>
      <c r="C53" s="14">
        <v>3</v>
      </c>
      <c r="D53" s="14">
        <v>2006</v>
      </c>
      <c r="E53" s="14">
        <v>2006</v>
      </c>
      <c r="F53" s="99">
        <f t="shared" si="0"/>
        <v>2</v>
      </c>
      <c r="G53" s="14">
        <v>0</v>
      </c>
      <c r="H53" t="str">
        <f t="shared" si="2"/>
        <v/>
      </c>
    </row>
    <row r="54" spans="1:9" x14ac:dyDescent="0.2">
      <c r="A54" s="3" t="s">
        <v>172</v>
      </c>
      <c r="B54" t="s">
        <v>173</v>
      </c>
      <c r="C54" s="14">
        <v>2</v>
      </c>
      <c r="D54" s="14">
        <v>2000</v>
      </c>
      <c r="E54" s="14">
        <v>2000</v>
      </c>
      <c r="F54" s="99">
        <f t="shared" si="0"/>
        <v>4</v>
      </c>
      <c r="G54">
        <v>1</v>
      </c>
      <c r="H54" t="str">
        <f t="shared" si="2"/>
        <v>Cuba</v>
      </c>
    </row>
    <row r="55" spans="1:9" x14ac:dyDescent="0.2">
      <c r="A55" s="3" t="s">
        <v>172</v>
      </c>
      <c r="B55" t="s">
        <v>173</v>
      </c>
      <c r="C55" s="14">
        <v>3</v>
      </c>
      <c r="D55" s="14">
        <v>2006</v>
      </c>
      <c r="E55" s="14">
        <v>2006</v>
      </c>
      <c r="F55" s="99">
        <f t="shared" si="0"/>
        <v>4</v>
      </c>
      <c r="G55" s="14">
        <v>0</v>
      </c>
      <c r="H55" t="str">
        <f t="shared" si="2"/>
        <v/>
      </c>
    </row>
    <row r="56" spans="1:9" x14ac:dyDescent="0.2">
      <c r="A56" s="3" t="s">
        <v>172</v>
      </c>
      <c r="B56" t="s">
        <v>173</v>
      </c>
      <c r="C56" s="14">
        <v>4</v>
      </c>
      <c r="D56" s="14">
        <v>2010</v>
      </c>
      <c r="E56" s="14">
        <v>2011</v>
      </c>
      <c r="F56" s="99">
        <f t="shared" si="0"/>
        <v>4</v>
      </c>
      <c r="G56" s="14">
        <v>0</v>
      </c>
      <c r="H56" t="str">
        <f t="shared" si="2"/>
        <v/>
      </c>
    </row>
    <row r="57" spans="1:9" x14ac:dyDescent="0.2">
      <c r="A57" s="96" t="s">
        <v>172</v>
      </c>
      <c r="B57" s="97" t="s">
        <v>173</v>
      </c>
      <c r="C57" s="98">
        <v>5</v>
      </c>
      <c r="D57" s="98">
        <v>2014</v>
      </c>
      <c r="E57" s="98">
        <v>2014</v>
      </c>
      <c r="F57" s="99">
        <f t="shared" si="0"/>
        <v>4</v>
      </c>
      <c r="G57" s="98">
        <v>0</v>
      </c>
      <c r="H57" s="97" t="str">
        <f t="shared" si="2"/>
        <v/>
      </c>
      <c r="I57" s="97"/>
    </row>
    <row r="58" spans="1:9" x14ac:dyDescent="0.2">
      <c r="A58" t="s">
        <v>74</v>
      </c>
      <c r="B58" t="s">
        <v>76</v>
      </c>
      <c r="C58" s="14">
        <v>3</v>
      </c>
      <c r="D58" s="14">
        <v>2006</v>
      </c>
      <c r="E58" s="14">
        <v>2006</v>
      </c>
      <c r="F58" s="99">
        <f t="shared" si="0"/>
        <v>1</v>
      </c>
      <c r="G58">
        <v>1</v>
      </c>
      <c r="H58" t="str">
        <f t="shared" si="2"/>
        <v>Djibouti</v>
      </c>
      <c r="I58" t="s">
        <v>327</v>
      </c>
    </row>
    <row r="59" spans="1:9" x14ac:dyDescent="0.2">
      <c r="A59" s="3" t="s">
        <v>172</v>
      </c>
      <c r="B59" t="s">
        <v>56</v>
      </c>
      <c r="C59" s="14">
        <v>2</v>
      </c>
      <c r="D59" s="14">
        <v>2000</v>
      </c>
      <c r="E59" s="14">
        <v>2000</v>
      </c>
      <c r="F59" s="99">
        <f t="shared" si="0"/>
        <v>1</v>
      </c>
      <c r="G59">
        <v>1</v>
      </c>
      <c r="H59" t="str">
        <f t="shared" si="2"/>
        <v>Dominican Republic</v>
      </c>
    </row>
    <row r="60" spans="1:9" x14ac:dyDescent="0.2">
      <c r="A60" t="s">
        <v>74</v>
      </c>
      <c r="B60" t="s">
        <v>77</v>
      </c>
      <c r="C60" s="14">
        <v>1</v>
      </c>
      <c r="D60" s="14">
        <v>1996</v>
      </c>
      <c r="E60" s="14">
        <v>1996</v>
      </c>
      <c r="F60" s="99">
        <f t="shared" si="0"/>
        <v>2</v>
      </c>
      <c r="G60">
        <v>1</v>
      </c>
      <c r="H60" t="str">
        <f t="shared" si="2"/>
        <v>Egypt</v>
      </c>
    </row>
    <row r="61" spans="1:9" x14ac:dyDescent="0.2">
      <c r="A61" s="43" t="s">
        <v>74</v>
      </c>
      <c r="B61" s="43" t="s">
        <v>77</v>
      </c>
      <c r="C61" s="102">
        <v>5</v>
      </c>
      <c r="D61" s="102">
        <v>2013</v>
      </c>
      <c r="E61" s="102">
        <v>2014</v>
      </c>
      <c r="F61" s="99">
        <f t="shared" si="0"/>
        <v>2</v>
      </c>
      <c r="G61" s="103">
        <v>0</v>
      </c>
      <c r="H61" s="43" t="str">
        <f t="shared" si="2"/>
        <v/>
      </c>
      <c r="I61" s="43" t="s">
        <v>378</v>
      </c>
    </row>
    <row r="62" spans="1:9" x14ac:dyDescent="0.2">
      <c r="A62" t="s">
        <v>174</v>
      </c>
      <c r="B62" t="s">
        <v>177</v>
      </c>
      <c r="C62" s="14">
        <v>2</v>
      </c>
      <c r="D62" s="14">
        <v>2000</v>
      </c>
      <c r="E62" s="14">
        <v>2000</v>
      </c>
      <c r="F62" s="99">
        <f t="shared" si="0"/>
        <v>1</v>
      </c>
      <c r="G62">
        <v>1</v>
      </c>
      <c r="H62" t="str">
        <f t="shared" si="2"/>
        <v>Equatorial Guinea</v>
      </c>
    </row>
    <row r="63" spans="1:9" x14ac:dyDescent="0.2">
      <c r="A63" t="s">
        <v>174</v>
      </c>
      <c r="B63" t="s">
        <v>110</v>
      </c>
      <c r="C63" s="14">
        <v>2</v>
      </c>
      <c r="D63" s="14">
        <v>2000</v>
      </c>
      <c r="E63" s="14">
        <v>2000</v>
      </c>
      <c r="F63" s="99">
        <f t="shared" si="0"/>
        <v>3</v>
      </c>
      <c r="G63">
        <v>1</v>
      </c>
      <c r="H63" t="str">
        <f t="shared" si="2"/>
        <v>Gambia</v>
      </c>
    </row>
    <row r="64" spans="1:9" x14ac:dyDescent="0.2">
      <c r="A64" t="s">
        <v>174</v>
      </c>
      <c r="B64" t="s">
        <v>110</v>
      </c>
      <c r="C64" s="14">
        <v>3</v>
      </c>
      <c r="D64" s="14">
        <v>2005</v>
      </c>
      <c r="E64" s="14">
        <v>2006</v>
      </c>
      <c r="F64" s="99">
        <f t="shared" si="0"/>
        <v>3</v>
      </c>
      <c r="G64" s="14">
        <v>0</v>
      </c>
      <c r="H64" t="str">
        <f t="shared" si="2"/>
        <v/>
      </c>
    </row>
    <row r="65" spans="1:9" x14ac:dyDescent="0.2">
      <c r="A65" t="s">
        <v>174</v>
      </c>
      <c r="B65" t="s">
        <v>110</v>
      </c>
      <c r="C65" s="14">
        <v>4</v>
      </c>
      <c r="D65" s="14">
        <v>2010</v>
      </c>
      <c r="E65" s="14">
        <v>2010</v>
      </c>
      <c r="F65" s="99">
        <f t="shared" si="0"/>
        <v>3</v>
      </c>
      <c r="G65" s="14">
        <v>0</v>
      </c>
      <c r="H65" t="str">
        <f t="shared" si="2"/>
        <v/>
      </c>
    </row>
    <row r="66" spans="1:9" x14ac:dyDescent="0.2">
      <c r="A66" t="s">
        <v>154</v>
      </c>
      <c r="B66" t="s">
        <v>29</v>
      </c>
      <c r="C66" s="14">
        <v>2</v>
      </c>
      <c r="D66" s="14">
        <v>1999</v>
      </c>
      <c r="E66" s="14">
        <v>1999</v>
      </c>
      <c r="F66" s="99">
        <f t="shared" si="0"/>
        <v>2</v>
      </c>
      <c r="G66">
        <v>1</v>
      </c>
      <c r="H66" t="str">
        <f t="shared" si="2"/>
        <v>Georgia</v>
      </c>
    </row>
    <row r="67" spans="1:9" x14ac:dyDescent="0.2">
      <c r="A67" t="s">
        <v>154</v>
      </c>
      <c r="B67" t="s">
        <v>29</v>
      </c>
      <c r="C67" s="14">
        <v>3</v>
      </c>
      <c r="D67" s="14">
        <v>2005</v>
      </c>
      <c r="E67" s="14">
        <v>2005</v>
      </c>
      <c r="F67" s="99">
        <f t="shared" si="0"/>
        <v>2</v>
      </c>
      <c r="G67" s="14">
        <v>0</v>
      </c>
      <c r="H67" t="str">
        <f t="shared" si="2"/>
        <v/>
      </c>
    </row>
    <row r="68" spans="1:9" x14ac:dyDescent="0.2">
      <c r="A68" t="s">
        <v>174</v>
      </c>
      <c r="B68" t="s">
        <v>111</v>
      </c>
      <c r="C68" s="14">
        <v>1</v>
      </c>
      <c r="D68" s="14">
        <v>1995</v>
      </c>
      <c r="E68" s="14">
        <v>1995</v>
      </c>
      <c r="F68" s="99">
        <f t="shared" si="0"/>
        <v>5</v>
      </c>
      <c r="G68">
        <v>1</v>
      </c>
      <c r="H68" t="str">
        <f t="shared" ref="H68:H99" si="3">IF(G68=1,B68,"")</f>
        <v>Ghana</v>
      </c>
    </row>
    <row r="69" spans="1:9" x14ac:dyDescent="0.2">
      <c r="A69" t="s">
        <v>174</v>
      </c>
      <c r="B69" t="s">
        <v>111</v>
      </c>
      <c r="C69" s="14">
        <v>3</v>
      </c>
      <c r="D69" s="14">
        <v>2006</v>
      </c>
      <c r="E69" s="14">
        <v>2006</v>
      </c>
      <c r="F69" s="99">
        <f t="shared" si="0"/>
        <v>5</v>
      </c>
      <c r="G69" s="14">
        <v>0</v>
      </c>
      <c r="H69" t="str">
        <f t="shared" si="3"/>
        <v/>
      </c>
    </row>
    <row r="70" spans="1:9" x14ac:dyDescent="0.2">
      <c r="A70" t="s">
        <v>174</v>
      </c>
      <c r="B70" t="s">
        <v>111</v>
      </c>
      <c r="C70" s="14">
        <v>3</v>
      </c>
      <c r="D70" s="14">
        <v>2007</v>
      </c>
      <c r="E70" s="14">
        <v>2007</v>
      </c>
      <c r="F70" s="99">
        <f t="shared" si="0"/>
        <v>5</v>
      </c>
      <c r="G70" s="14">
        <v>0</v>
      </c>
      <c r="H70" t="str">
        <f t="shared" si="3"/>
        <v/>
      </c>
      <c r="I70" t="s">
        <v>198</v>
      </c>
    </row>
    <row r="71" spans="1:9" x14ac:dyDescent="0.2">
      <c r="A71" t="s">
        <v>174</v>
      </c>
      <c r="B71" t="s">
        <v>111</v>
      </c>
      <c r="C71" s="14">
        <v>4</v>
      </c>
      <c r="D71" s="14">
        <v>2010</v>
      </c>
      <c r="E71" s="14">
        <v>2011</v>
      </c>
      <c r="F71" s="99">
        <f t="shared" si="0"/>
        <v>5</v>
      </c>
      <c r="G71" s="14">
        <v>0</v>
      </c>
      <c r="H71" t="str">
        <f t="shared" si="3"/>
        <v/>
      </c>
      <c r="I71" t="s">
        <v>199</v>
      </c>
    </row>
    <row r="72" spans="1:9" x14ac:dyDescent="0.2">
      <c r="A72" t="s">
        <v>174</v>
      </c>
      <c r="B72" t="s">
        <v>111</v>
      </c>
      <c r="C72" s="14">
        <v>4</v>
      </c>
      <c r="D72" s="14">
        <v>2011</v>
      </c>
      <c r="E72" s="14">
        <v>2011</v>
      </c>
      <c r="F72" s="99">
        <f t="shared" ref="F72:F135" si="4">COUNTIF(B$8:B$213,B72)</f>
        <v>5</v>
      </c>
      <c r="G72" s="14">
        <v>0</v>
      </c>
      <c r="H72" t="str">
        <f t="shared" si="3"/>
        <v/>
      </c>
    </row>
    <row r="73" spans="1:9" x14ac:dyDescent="0.2">
      <c r="A73" t="s">
        <v>174</v>
      </c>
      <c r="B73" t="s">
        <v>113</v>
      </c>
      <c r="C73" s="14">
        <v>2</v>
      </c>
      <c r="D73" s="14">
        <v>2000</v>
      </c>
      <c r="E73" s="14">
        <v>2000</v>
      </c>
      <c r="F73" s="99">
        <f t="shared" si="4"/>
        <v>3</v>
      </c>
      <c r="G73">
        <v>1</v>
      </c>
      <c r="H73" t="str">
        <f t="shared" si="3"/>
        <v>Guinea-Bissau</v>
      </c>
    </row>
    <row r="74" spans="1:9" x14ac:dyDescent="0.2">
      <c r="A74" t="s">
        <v>174</v>
      </c>
      <c r="B74" t="s">
        <v>113</v>
      </c>
      <c r="C74" s="14">
        <v>3</v>
      </c>
      <c r="D74" s="14">
        <v>2006</v>
      </c>
      <c r="E74" s="14">
        <v>2006</v>
      </c>
      <c r="F74" s="99">
        <f t="shared" si="4"/>
        <v>3</v>
      </c>
      <c r="G74" s="14">
        <v>0</v>
      </c>
      <c r="H74" t="str">
        <f t="shared" si="3"/>
        <v/>
      </c>
    </row>
    <row r="75" spans="1:9" x14ac:dyDescent="0.2">
      <c r="A75" t="s">
        <v>174</v>
      </c>
      <c r="B75" t="s">
        <v>113</v>
      </c>
      <c r="C75" s="14">
        <v>4</v>
      </c>
      <c r="D75" s="14">
        <v>2010</v>
      </c>
      <c r="E75" s="14">
        <v>2010</v>
      </c>
      <c r="F75" s="99">
        <f t="shared" si="4"/>
        <v>3</v>
      </c>
      <c r="G75">
        <v>0</v>
      </c>
      <c r="H75" t="str">
        <f t="shared" si="3"/>
        <v/>
      </c>
    </row>
    <row r="76" spans="1:9" x14ac:dyDescent="0.2">
      <c r="A76" s="3" t="s">
        <v>172</v>
      </c>
      <c r="B76" t="s">
        <v>60</v>
      </c>
      <c r="C76" s="14">
        <v>2</v>
      </c>
      <c r="D76" s="14">
        <v>2000</v>
      </c>
      <c r="E76" s="14">
        <v>2000</v>
      </c>
      <c r="F76" s="99">
        <f t="shared" si="4"/>
        <v>2</v>
      </c>
      <c r="G76">
        <v>1</v>
      </c>
      <c r="H76" t="str">
        <f t="shared" si="3"/>
        <v>Guyana</v>
      </c>
    </row>
    <row r="77" spans="1:9" x14ac:dyDescent="0.2">
      <c r="A77" s="3" t="s">
        <v>172</v>
      </c>
      <c r="B77" t="s">
        <v>60</v>
      </c>
      <c r="C77" s="14">
        <v>3</v>
      </c>
      <c r="D77" s="14">
        <v>2006</v>
      </c>
      <c r="E77" s="14">
        <v>2007</v>
      </c>
      <c r="F77" s="99">
        <f t="shared" si="4"/>
        <v>2</v>
      </c>
      <c r="G77" s="14">
        <v>0</v>
      </c>
      <c r="H77" t="str">
        <f t="shared" si="3"/>
        <v/>
      </c>
    </row>
    <row r="78" spans="1:9" x14ac:dyDescent="0.2">
      <c r="A78" t="s">
        <v>87</v>
      </c>
      <c r="B78" t="s">
        <v>89</v>
      </c>
      <c r="C78" s="14">
        <v>2</v>
      </c>
      <c r="D78" s="14">
        <v>2000</v>
      </c>
      <c r="E78" s="14">
        <v>2000</v>
      </c>
      <c r="F78" s="99">
        <f t="shared" si="4"/>
        <v>1</v>
      </c>
      <c r="G78">
        <v>1</v>
      </c>
      <c r="H78" t="str">
        <f t="shared" si="3"/>
        <v>India</v>
      </c>
    </row>
    <row r="79" spans="1:9" x14ac:dyDescent="0.2">
      <c r="A79" t="s">
        <v>158</v>
      </c>
      <c r="B79" t="s">
        <v>10</v>
      </c>
      <c r="C79" s="14">
        <v>2</v>
      </c>
      <c r="D79" s="14">
        <v>2000</v>
      </c>
      <c r="E79" s="14">
        <v>2000</v>
      </c>
      <c r="F79" s="99">
        <f t="shared" si="4"/>
        <v>3</v>
      </c>
      <c r="G79">
        <v>1</v>
      </c>
      <c r="H79" t="str">
        <f t="shared" si="3"/>
        <v>Indonesia</v>
      </c>
    </row>
    <row r="80" spans="1:9" x14ac:dyDescent="0.2">
      <c r="A80" t="s">
        <v>158</v>
      </c>
      <c r="B80" t="s">
        <v>10</v>
      </c>
      <c r="C80" s="14">
        <v>4</v>
      </c>
      <c r="D80" s="14">
        <v>2011</v>
      </c>
      <c r="E80" s="14">
        <v>2011</v>
      </c>
      <c r="F80" s="99">
        <f t="shared" si="4"/>
        <v>3</v>
      </c>
      <c r="G80" s="14">
        <v>0</v>
      </c>
      <c r="H80" t="str">
        <f t="shared" si="3"/>
        <v/>
      </c>
      <c r="I80" t="s">
        <v>191</v>
      </c>
    </row>
    <row r="81" spans="1:9" x14ac:dyDescent="0.2">
      <c r="A81" t="s">
        <v>158</v>
      </c>
      <c r="B81" t="s">
        <v>10</v>
      </c>
      <c r="C81" s="14">
        <v>4</v>
      </c>
      <c r="D81" s="14">
        <v>2011</v>
      </c>
      <c r="E81" s="14">
        <v>2011</v>
      </c>
      <c r="F81" s="99">
        <f t="shared" si="4"/>
        <v>3</v>
      </c>
      <c r="G81" s="14">
        <v>0</v>
      </c>
      <c r="H81" t="str">
        <f t="shared" si="3"/>
        <v/>
      </c>
      <c r="I81" t="s">
        <v>192</v>
      </c>
    </row>
    <row r="82" spans="1:9" x14ac:dyDescent="0.2">
      <c r="A82" t="s">
        <v>74</v>
      </c>
      <c r="B82" t="s">
        <v>79</v>
      </c>
      <c r="C82" s="14">
        <v>2</v>
      </c>
      <c r="D82" s="14">
        <v>2000</v>
      </c>
      <c r="E82" s="14">
        <v>2000</v>
      </c>
      <c r="F82" s="99">
        <f t="shared" si="4"/>
        <v>3</v>
      </c>
      <c r="G82">
        <v>1</v>
      </c>
      <c r="H82" t="str">
        <f t="shared" si="3"/>
        <v>Iraq</v>
      </c>
    </row>
    <row r="83" spans="1:9" x14ac:dyDescent="0.2">
      <c r="A83" t="s">
        <v>74</v>
      </c>
      <c r="B83" t="s">
        <v>79</v>
      </c>
      <c r="C83" s="14">
        <v>3</v>
      </c>
      <c r="D83" s="14">
        <v>2006</v>
      </c>
      <c r="E83" s="14">
        <v>2006</v>
      </c>
      <c r="F83" s="99">
        <f t="shared" si="4"/>
        <v>3</v>
      </c>
      <c r="G83" s="14">
        <v>0</v>
      </c>
      <c r="H83" t="str">
        <f t="shared" si="3"/>
        <v/>
      </c>
    </row>
    <row r="84" spans="1:9" x14ac:dyDescent="0.2">
      <c r="A84" t="s">
        <v>74</v>
      </c>
      <c r="B84" t="s">
        <v>79</v>
      </c>
      <c r="C84" s="14">
        <v>4</v>
      </c>
      <c r="D84" s="14">
        <v>2011</v>
      </c>
      <c r="E84" s="14">
        <v>2011</v>
      </c>
      <c r="F84" s="99">
        <f t="shared" si="4"/>
        <v>3</v>
      </c>
      <c r="G84" s="14">
        <v>0</v>
      </c>
      <c r="H84" t="str">
        <f t="shared" si="3"/>
        <v/>
      </c>
    </row>
    <row r="85" spans="1:9" x14ac:dyDescent="0.2">
      <c r="A85" s="3" t="s">
        <v>172</v>
      </c>
      <c r="B85" t="s">
        <v>63</v>
      </c>
      <c r="C85" s="14">
        <v>2</v>
      </c>
      <c r="D85" s="14">
        <v>2000</v>
      </c>
      <c r="E85" s="14">
        <v>2000</v>
      </c>
      <c r="F85" s="99">
        <f t="shared" si="4"/>
        <v>3</v>
      </c>
      <c r="G85">
        <v>1</v>
      </c>
      <c r="H85" t="str">
        <f t="shared" si="3"/>
        <v>Jamaica</v>
      </c>
    </row>
    <row r="86" spans="1:9" x14ac:dyDescent="0.2">
      <c r="A86" s="3" t="s">
        <v>172</v>
      </c>
      <c r="B86" t="s">
        <v>63</v>
      </c>
      <c r="C86" s="14">
        <v>3</v>
      </c>
      <c r="D86" s="14">
        <v>2005</v>
      </c>
      <c r="E86" s="14">
        <v>2005</v>
      </c>
      <c r="F86" s="99">
        <f t="shared" si="4"/>
        <v>3</v>
      </c>
      <c r="G86" s="14">
        <v>0</v>
      </c>
      <c r="H86" t="str">
        <f t="shared" si="3"/>
        <v/>
      </c>
    </row>
    <row r="87" spans="1:9" x14ac:dyDescent="0.2">
      <c r="A87" s="3" t="s">
        <v>172</v>
      </c>
      <c r="B87" t="s">
        <v>63</v>
      </c>
      <c r="C87" s="14">
        <v>4</v>
      </c>
      <c r="D87" s="14">
        <v>2011</v>
      </c>
      <c r="E87" s="14">
        <v>2011</v>
      </c>
      <c r="F87" s="99">
        <f t="shared" si="4"/>
        <v>3</v>
      </c>
      <c r="G87" s="14">
        <v>0</v>
      </c>
      <c r="H87" t="str">
        <f t="shared" si="3"/>
        <v/>
      </c>
    </row>
    <row r="88" spans="1:9" x14ac:dyDescent="0.2">
      <c r="A88" t="s">
        <v>154</v>
      </c>
      <c r="B88" t="s">
        <v>31</v>
      </c>
      <c r="C88" s="14">
        <v>3</v>
      </c>
      <c r="D88" s="14">
        <v>2006</v>
      </c>
      <c r="E88" s="14">
        <v>2006</v>
      </c>
      <c r="F88" s="99">
        <f t="shared" si="4"/>
        <v>2</v>
      </c>
      <c r="G88">
        <v>1</v>
      </c>
      <c r="H88" t="str">
        <f t="shared" si="3"/>
        <v>Kazakhstan</v>
      </c>
    </row>
    <row r="89" spans="1:9" x14ac:dyDescent="0.2">
      <c r="A89" t="s">
        <v>154</v>
      </c>
      <c r="B89" t="s">
        <v>31</v>
      </c>
      <c r="C89" s="14">
        <v>4</v>
      </c>
      <c r="D89" s="14">
        <v>2010</v>
      </c>
      <c r="E89" s="14">
        <v>2011</v>
      </c>
      <c r="F89" s="99">
        <f t="shared" si="4"/>
        <v>2</v>
      </c>
      <c r="G89" s="14">
        <v>0</v>
      </c>
      <c r="H89" t="str">
        <f t="shared" si="3"/>
        <v/>
      </c>
    </row>
    <row r="90" spans="1:9" x14ac:dyDescent="0.2">
      <c r="A90" t="s">
        <v>165</v>
      </c>
      <c r="B90" t="s">
        <v>114</v>
      </c>
      <c r="C90" s="14">
        <v>2</v>
      </c>
      <c r="D90" s="14">
        <v>2000</v>
      </c>
      <c r="E90" s="14">
        <v>2000</v>
      </c>
      <c r="F90" s="99">
        <f t="shared" si="4"/>
        <v>5</v>
      </c>
      <c r="G90">
        <v>1</v>
      </c>
      <c r="H90" t="str">
        <f t="shared" si="3"/>
        <v>Kenya</v>
      </c>
    </row>
    <row r="91" spans="1:9" x14ac:dyDescent="0.2">
      <c r="A91" t="s">
        <v>165</v>
      </c>
      <c r="B91" t="s">
        <v>114</v>
      </c>
      <c r="C91" s="14">
        <v>3</v>
      </c>
      <c r="D91" s="14">
        <v>2008</v>
      </c>
      <c r="E91" s="14">
        <v>2008</v>
      </c>
      <c r="F91" s="99">
        <f t="shared" si="4"/>
        <v>5</v>
      </c>
      <c r="G91" s="14">
        <v>0</v>
      </c>
      <c r="H91" t="str">
        <f t="shared" si="3"/>
        <v/>
      </c>
      <c r="I91" t="s">
        <v>187</v>
      </c>
    </row>
    <row r="92" spans="1:9" x14ac:dyDescent="0.2">
      <c r="A92" t="s">
        <v>165</v>
      </c>
      <c r="B92" t="s">
        <v>114</v>
      </c>
      <c r="C92" s="14">
        <v>4</v>
      </c>
      <c r="D92" s="14">
        <v>2009</v>
      </c>
      <c r="E92" s="14">
        <v>2009</v>
      </c>
      <c r="F92" s="99">
        <f t="shared" si="4"/>
        <v>5</v>
      </c>
      <c r="G92" s="14">
        <v>0</v>
      </c>
      <c r="H92" t="str">
        <f t="shared" si="3"/>
        <v/>
      </c>
      <c r="I92" t="s">
        <v>189</v>
      </c>
    </row>
    <row r="93" spans="1:9" x14ac:dyDescent="0.2">
      <c r="A93" t="s">
        <v>165</v>
      </c>
      <c r="B93" t="s">
        <v>114</v>
      </c>
      <c r="C93" s="14">
        <v>4</v>
      </c>
      <c r="D93" s="14">
        <v>2011</v>
      </c>
      <c r="E93" s="14">
        <v>2011</v>
      </c>
      <c r="F93" s="99">
        <f t="shared" si="4"/>
        <v>5</v>
      </c>
      <c r="G93" s="14">
        <v>0</v>
      </c>
      <c r="H93" t="str">
        <f t="shared" si="3"/>
        <v/>
      </c>
      <c r="I93" t="s">
        <v>371</v>
      </c>
    </row>
    <row r="94" spans="1:9" x14ac:dyDescent="0.2">
      <c r="A94" s="43" t="s">
        <v>165</v>
      </c>
      <c r="B94" s="43" t="s">
        <v>114</v>
      </c>
      <c r="C94" s="102">
        <v>5</v>
      </c>
      <c r="D94" s="102">
        <v>2013</v>
      </c>
      <c r="E94" s="102">
        <v>2014</v>
      </c>
      <c r="F94" s="99">
        <f t="shared" si="4"/>
        <v>5</v>
      </c>
      <c r="G94" s="102">
        <v>0</v>
      </c>
      <c r="H94" s="43" t="str">
        <f t="shared" si="3"/>
        <v/>
      </c>
      <c r="I94" s="43" t="s">
        <v>377</v>
      </c>
    </row>
    <row r="95" spans="1:9" x14ac:dyDescent="0.2">
      <c r="A95" t="s">
        <v>158</v>
      </c>
      <c r="B95" t="s">
        <v>159</v>
      </c>
      <c r="C95" s="14">
        <v>2</v>
      </c>
      <c r="D95" s="14">
        <v>2000</v>
      </c>
      <c r="E95" s="14">
        <v>2000</v>
      </c>
      <c r="F95" s="99">
        <f t="shared" si="4"/>
        <v>2</v>
      </c>
      <c r="G95">
        <v>1</v>
      </c>
      <c r="H95" t="str">
        <f t="shared" si="3"/>
        <v>Korea, Democratic People's Republic of</v>
      </c>
    </row>
    <row r="96" spans="1:9" x14ac:dyDescent="0.2">
      <c r="A96" t="s">
        <v>158</v>
      </c>
      <c r="B96" t="s">
        <v>159</v>
      </c>
      <c r="C96" s="14">
        <v>4</v>
      </c>
      <c r="D96" s="14">
        <v>2009</v>
      </c>
      <c r="E96" s="14">
        <v>2009</v>
      </c>
      <c r="F96" s="99">
        <f t="shared" si="4"/>
        <v>2</v>
      </c>
      <c r="G96" s="14">
        <v>0</v>
      </c>
      <c r="H96" t="str">
        <f t="shared" si="3"/>
        <v/>
      </c>
    </row>
    <row r="97" spans="1:9" x14ac:dyDescent="0.2">
      <c r="A97" s="43" t="s">
        <v>154</v>
      </c>
      <c r="B97" s="43" t="s">
        <v>369</v>
      </c>
      <c r="C97" s="102">
        <v>5</v>
      </c>
      <c r="D97" s="102">
        <v>2013</v>
      </c>
      <c r="E97" s="102">
        <v>2014</v>
      </c>
      <c r="F97" s="99">
        <f t="shared" si="4"/>
        <v>2</v>
      </c>
      <c r="G97" s="102">
        <v>1</v>
      </c>
      <c r="H97" s="43" t="str">
        <f t="shared" si="3"/>
        <v>Kosovo</v>
      </c>
      <c r="I97" s="43"/>
    </row>
    <row r="98" spans="1:9" x14ac:dyDescent="0.2">
      <c r="A98" s="43" t="s">
        <v>154</v>
      </c>
      <c r="B98" s="43" t="s">
        <v>369</v>
      </c>
      <c r="C98" s="102">
        <v>5</v>
      </c>
      <c r="D98" s="102">
        <v>2013</v>
      </c>
      <c r="E98" s="102">
        <v>2014</v>
      </c>
      <c r="F98" s="99">
        <f t="shared" si="4"/>
        <v>2</v>
      </c>
      <c r="G98" s="102">
        <v>0</v>
      </c>
      <c r="H98" s="43" t="str">
        <f t="shared" si="3"/>
        <v/>
      </c>
      <c r="I98" s="43"/>
    </row>
    <row r="99" spans="1:9" x14ac:dyDescent="0.2">
      <c r="A99" t="s">
        <v>154</v>
      </c>
      <c r="B99" t="s">
        <v>156</v>
      </c>
      <c r="C99" s="14">
        <v>3</v>
      </c>
      <c r="D99" s="14">
        <v>2005</v>
      </c>
      <c r="E99" s="14">
        <v>2006</v>
      </c>
      <c r="F99" s="99">
        <f t="shared" si="4"/>
        <v>2</v>
      </c>
      <c r="G99">
        <v>1</v>
      </c>
      <c r="H99" t="str">
        <f t="shared" si="3"/>
        <v>Kyrgyzstan</v>
      </c>
    </row>
    <row r="100" spans="1:9" x14ac:dyDescent="0.2">
      <c r="A100" s="97" t="s">
        <v>154</v>
      </c>
      <c r="B100" s="97" t="s">
        <v>156</v>
      </c>
      <c r="C100" s="98">
        <v>5</v>
      </c>
      <c r="D100" s="98">
        <v>2014</v>
      </c>
      <c r="E100" s="98">
        <v>2014</v>
      </c>
      <c r="F100" s="99">
        <f t="shared" si="4"/>
        <v>2</v>
      </c>
      <c r="G100" s="98">
        <v>0</v>
      </c>
      <c r="H100" s="97" t="str">
        <f t="shared" ref="H100:H130" si="5">IF(G100=1,B100,"")</f>
        <v/>
      </c>
      <c r="I100" s="97"/>
    </row>
    <row r="101" spans="1:9" x14ac:dyDescent="0.2">
      <c r="A101" t="s">
        <v>158</v>
      </c>
      <c r="B101" t="s">
        <v>160</v>
      </c>
      <c r="C101" s="14">
        <v>2</v>
      </c>
      <c r="D101" s="14">
        <v>2000</v>
      </c>
      <c r="E101" s="14">
        <v>2000</v>
      </c>
      <c r="F101" s="99">
        <f t="shared" si="4"/>
        <v>3</v>
      </c>
      <c r="G101">
        <v>1</v>
      </c>
      <c r="H101" t="str">
        <f t="shared" si="5"/>
        <v>Lao People's Democratic Republic</v>
      </c>
    </row>
    <row r="102" spans="1:9" x14ac:dyDescent="0.2">
      <c r="A102" t="s">
        <v>158</v>
      </c>
      <c r="B102" t="s">
        <v>160</v>
      </c>
      <c r="C102" s="14">
        <v>3</v>
      </c>
      <c r="D102" s="14">
        <v>2006</v>
      </c>
      <c r="E102" s="14">
        <v>2006</v>
      </c>
      <c r="F102" s="99">
        <f t="shared" si="4"/>
        <v>3</v>
      </c>
      <c r="G102" s="14">
        <v>0</v>
      </c>
      <c r="H102" t="str">
        <f t="shared" si="5"/>
        <v/>
      </c>
    </row>
    <row r="103" spans="1:9" x14ac:dyDescent="0.2">
      <c r="A103" t="s">
        <v>158</v>
      </c>
      <c r="B103" t="s">
        <v>160</v>
      </c>
      <c r="C103" s="14">
        <v>4</v>
      </c>
      <c r="D103" s="14">
        <v>2011</v>
      </c>
      <c r="E103" s="14">
        <v>2012</v>
      </c>
      <c r="F103" s="99">
        <f t="shared" si="4"/>
        <v>3</v>
      </c>
      <c r="G103" s="14">
        <v>0</v>
      </c>
      <c r="H103" t="str">
        <f t="shared" si="5"/>
        <v/>
      </c>
    </row>
    <row r="104" spans="1:9" x14ac:dyDescent="0.2">
      <c r="A104" t="s">
        <v>74</v>
      </c>
      <c r="B104" t="s">
        <v>168</v>
      </c>
      <c r="C104" s="14">
        <v>2</v>
      </c>
      <c r="D104" s="14">
        <v>2000</v>
      </c>
      <c r="E104" s="14">
        <v>2000</v>
      </c>
      <c r="F104" s="99">
        <f t="shared" si="4"/>
        <v>3</v>
      </c>
      <c r="G104">
        <v>1</v>
      </c>
      <c r="H104" t="str">
        <f t="shared" si="5"/>
        <v>Lebanon</v>
      </c>
    </row>
    <row r="105" spans="1:9" x14ac:dyDescent="0.2">
      <c r="A105" t="s">
        <v>74</v>
      </c>
      <c r="B105" t="s">
        <v>168</v>
      </c>
      <c r="C105" s="14">
        <v>3</v>
      </c>
      <c r="D105" s="14">
        <v>2006</v>
      </c>
      <c r="E105" s="14">
        <v>2006</v>
      </c>
      <c r="F105" s="99">
        <f t="shared" si="4"/>
        <v>3</v>
      </c>
      <c r="G105" s="14">
        <v>0</v>
      </c>
      <c r="H105" t="str">
        <f t="shared" si="5"/>
        <v/>
      </c>
      <c r="I105" t="s">
        <v>193</v>
      </c>
    </row>
    <row r="106" spans="1:9" x14ac:dyDescent="0.2">
      <c r="A106" t="s">
        <v>74</v>
      </c>
      <c r="B106" t="s">
        <v>168</v>
      </c>
      <c r="C106" s="14">
        <v>4</v>
      </c>
      <c r="D106" s="14">
        <v>2011</v>
      </c>
      <c r="E106" s="14">
        <v>2011</v>
      </c>
      <c r="F106" s="99">
        <f t="shared" si="4"/>
        <v>3</v>
      </c>
      <c r="G106" s="14">
        <v>0</v>
      </c>
      <c r="H106" t="str">
        <f t="shared" si="5"/>
        <v/>
      </c>
      <c r="I106" t="s">
        <v>193</v>
      </c>
    </row>
    <row r="107" spans="1:9" x14ac:dyDescent="0.2">
      <c r="A107" t="s">
        <v>165</v>
      </c>
      <c r="B107" t="s">
        <v>115</v>
      </c>
      <c r="C107" s="14">
        <v>2</v>
      </c>
      <c r="D107" s="14">
        <v>2000</v>
      </c>
      <c r="E107" s="14">
        <v>2000</v>
      </c>
      <c r="F107" s="99">
        <f t="shared" si="4"/>
        <v>1</v>
      </c>
      <c r="G107">
        <v>1</v>
      </c>
      <c r="H107" t="str">
        <f t="shared" si="5"/>
        <v>Lesotho</v>
      </c>
    </row>
    <row r="108" spans="1:9" x14ac:dyDescent="0.2">
      <c r="A108" t="s">
        <v>174</v>
      </c>
      <c r="B108" t="s">
        <v>116</v>
      </c>
      <c r="C108" s="14">
        <v>1</v>
      </c>
      <c r="D108" s="14">
        <v>1995</v>
      </c>
      <c r="E108" s="14">
        <v>1995</v>
      </c>
      <c r="F108" s="99">
        <f t="shared" si="4"/>
        <v>1</v>
      </c>
      <c r="G108">
        <v>1</v>
      </c>
      <c r="H108" t="str">
        <f t="shared" si="5"/>
        <v>Liberia</v>
      </c>
    </row>
    <row r="109" spans="1:9" x14ac:dyDescent="0.2">
      <c r="A109" t="s">
        <v>154</v>
      </c>
      <c r="B109" t="s">
        <v>35</v>
      </c>
      <c r="C109" s="14">
        <v>3</v>
      </c>
      <c r="D109" s="14">
        <v>2005</v>
      </c>
      <c r="E109" s="14">
        <v>2005</v>
      </c>
      <c r="F109" s="99">
        <f t="shared" si="4"/>
        <v>3</v>
      </c>
      <c r="G109">
        <v>1</v>
      </c>
      <c r="H109" t="str">
        <f t="shared" si="5"/>
        <v>Macedonia</v>
      </c>
    </row>
    <row r="110" spans="1:9" x14ac:dyDescent="0.2">
      <c r="A110" t="s">
        <v>154</v>
      </c>
      <c r="B110" t="s">
        <v>35</v>
      </c>
      <c r="C110" s="14">
        <v>4</v>
      </c>
      <c r="D110" s="14">
        <v>2011</v>
      </c>
      <c r="E110" s="14">
        <v>2011</v>
      </c>
      <c r="F110" s="99">
        <f t="shared" si="4"/>
        <v>3</v>
      </c>
      <c r="G110" s="14">
        <v>0</v>
      </c>
      <c r="H110" t="str">
        <f t="shared" si="5"/>
        <v/>
      </c>
    </row>
    <row r="111" spans="1:9" x14ac:dyDescent="0.2">
      <c r="A111" t="s">
        <v>154</v>
      </c>
      <c r="B111" t="s">
        <v>35</v>
      </c>
      <c r="C111" s="14">
        <v>4</v>
      </c>
      <c r="D111" s="14">
        <v>2011</v>
      </c>
      <c r="E111" s="14">
        <v>2011</v>
      </c>
      <c r="F111" s="99">
        <f t="shared" si="4"/>
        <v>3</v>
      </c>
      <c r="G111" s="14">
        <v>0</v>
      </c>
      <c r="H111" t="str">
        <f t="shared" si="5"/>
        <v/>
      </c>
      <c r="I111" t="s">
        <v>190</v>
      </c>
    </row>
    <row r="112" spans="1:9" x14ac:dyDescent="0.2">
      <c r="A112" t="s">
        <v>165</v>
      </c>
      <c r="B112" t="s">
        <v>117</v>
      </c>
      <c r="C112" s="14">
        <v>2</v>
      </c>
      <c r="D112" s="14">
        <v>2000</v>
      </c>
      <c r="E112" s="14">
        <v>2000</v>
      </c>
      <c r="F112" s="99">
        <f t="shared" si="4"/>
        <v>2</v>
      </c>
      <c r="G112">
        <v>1</v>
      </c>
      <c r="H112" t="str">
        <f t="shared" si="5"/>
        <v>Madagascar</v>
      </c>
    </row>
    <row r="113" spans="1:9" x14ac:dyDescent="0.2">
      <c r="A113" t="s">
        <v>165</v>
      </c>
      <c r="B113" t="s">
        <v>117</v>
      </c>
      <c r="C113" s="14">
        <v>4</v>
      </c>
      <c r="D113" s="14">
        <v>2012</v>
      </c>
      <c r="E113" s="14">
        <v>2012</v>
      </c>
      <c r="F113" s="99">
        <f t="shared" si="4"/>
        <v>2</v>
      </c>
      <c r="G113" s="35">
        <v>0</v>
      </c>
      <c r="H113" t="str">
        <f t="shared" si="5"/>
        <v/>
      </c>
    </row>
    <row r="114" spans="1:9" x14ac:dyDescent="0.2">
      <c r="A114" t="s">
        <v>165</v>
      </c>
      <c r="B114" t="s">
        <v>118</v>
      </c>
      <c r="C114" s="14">
        <v>1</v>
      </c>
      <c r="D114" s="14">
        <v>1995</v>
      </c>
      <c r="E114" s="14">
        <v>1995</v>
      </c>
      <c r="F114" s="99">
        <f t="shared" si="4"/>
        <v>3</v>
      </c>
      <c r="G114">
        <v>1</v>
      </c>
      <c r="H114" t="str">
        <f t="shared" si="5"/>
        <v>Malawi</v>
      </c>
    </row>
    <row r="115" spans="1:9" x14ac:dyDescent="0.2">
      <c r="A115" t="s">
        <v>165</v>
      </c>
      <c r="B115" t="s">
        <v>118</v>
      </c>
      <c r="C115" s="14">
        <v>3</v>
      </c>
      <c r="D115" s="14">
        <v>2006</v>
      </c>
      <c r="E115" s="14">
        <v>2006</v>
      </c>
      <c r="F115" s="99">
        <f t="shared" si="4"/>
        <v>3</v>
      </c>
      <c r="G115" s="14">
        <v>0</v>
      </c>
      <c r="H115" t="str">
        <f t="shared" si="5"/>
        <v/>
      </c>
    </row>
    <row r="116" spans="1:9" x14ac:dyDescent="0.2">
      <c r="A116" s="43" t="s">
        <v>165</v>
      </c>
      <c r="B116" s="43" t="s">
        <v>118</v>
      </c>
      <c r="C116" s="102">
        <v>5</v>
      </c>
      <c r="D116" s="102">
        <v>2013</v>
      </c>
      <c r="E116" s="102">
        <v>2014</v>
      </c>
      <c r="F116" s="99">
        <f t="shared" si="4"/>
        <v>3</v>
      </c>
      <c r="G116" s="102">
        <v>0</v>
      </c>
      <c r="H116" s="43" t="str">
        <f t="shared" si="5"/>
        <v/>
      </c>
      <c r="I116" s="43"/>
    </row>
    <row r="117" spans="1:9" x14ac:dyDescent="0.2">
      <c r="A117" t="s">
        <v>158</v>
      </c>
      <c r="B117" t="s">
        <v>90</v>
      </c>
      <c r="C117" s="14">
        <v>2</v>
      </c>
      <c r="D117" s="14">
        <v>2001</v>
      </c>
      <c r="E117" s="14">
        <v>2001</v>
      </c>
      <c r="F117" s="99">
        <f t="shared" si="4"/>
        <v>1</v>
      </c>
      <c r="G117">
        <v>1</v>
      </c>
      <c r="H117" t="str">
        <f t="shared" si="5"/>
        <v>Maldives</v>
      </c>
    </row>
    <row r="118" spans="1:9" x14ac:dyDescent="0.2">
      <c r="A118" t="s">
        <v>174</v>
      </c>
      <c r="B118" t="s">
        <v>120</v>
      </c>
      <c r="C118" s="14">
        <v>3</v>
      </c>
      <c r="D118" s="14">
        <v>2007</v>
      </c>
      <c r="E118" s="14">
        <v>2007</v>
      </c>
      <c r="F118" s="99">
        <f t="shared" si="4"/>
        <v>2</v>
      </c>
      <c r="G118">
        <v>1</v>
      </c>
      <c r="H118" t="str">
        <f t="shared" si="5"/>
        <v>Mauritania</v>
      </c>
    </row>
    <row r="119" spans="1:9" x14ac:dyDescent="0.2">
      <c r="A119" t="s">
        <v>174</v>
      </c>
      <c r="B119" t="s">
        <v>120</v>
      </c>
      <c r="C119" s="14">
        <v>4</v>
      </c>
      <c r="D119" s="14">
        <v>2011</v>
      </c>
      <c r="E119" s="14">
        <v>2011</v>
      </c>
      <c r="F119" s="99">
        <f t="shared" si="4"/>
        <v>2</v>
      </c>
      <c r="G119" s="35">
        <v>0</v>
      </c>
      <c r="H119" t="str">
        <f t="shared" si="5"/>
        <v/>
      </c>
    </row>
    <row r="120" spans="1:9" x14ac:dyDescent="0.2">
      <c r="A120" t="s">
        <v>154</v>
      </c>
      <c r="B120" t="s">
        <v>36</v>
      </c>
      <c r="C120" s="14">
        <v>2</v>
      </c>
      <c r="D120" s="14">
        <v>2000</v>
      </c>
      <c r="E120" s="14">
        <v>2000</v>
      </c>
      <c r="F120" s="99">
        <f t="shared" si="4"/>
        <v>3</v>
      </c>
      <c r="G120">
        <v>1</v>
      </c>
      <c r="H120" t="str">
        <f t="shared" si="5"/>
        <v>Moldova</v>
      </c>
    </row>
    <row r="121" spans="1:9" x14ac:dyDescent="0.2">
      <c r="A121" t="s">
        <v>154</v>
      </c>
      <c r="B121" t="s">
        <v>36</v>
      </c>
      <c r="C121" s="14">
        <v>4</v>
      </c>
      <c r="D121" s="14">
        <v>2012</v>
      </c>
      <c r="E121" s="14">
        <v>2012</v>
      </c>
      <c r="F121" s="99">
        <f t="shared" si="4"/>
        <v>3</v>
      </c>
      <c r="G121" s="35">
        <v>0</v>
      </c>
      <c r="H121" t="str">
        <f t="shared" si="5"/>
        <v/>
      </c>
    </row>
    <row r="122" spans="1:9" x14ac:dyDescent="0.2">
      <c r="A122" t="s">
        <v>154</v>
      </c>
      <c r="B122" t="s">
        <v>36</v>
      </c>
      <c r="C122" s="14">
        <v>5</v>
      </c>
      <c r="D122" s="14">
        <v>2013</v>
      </c>
      <c r="E122" s="14">
        <v>2013</v>
      </c>
      <c r="F122" s="99">
        <f t="shared" si="4"/>
        <v>3</v>
      </c>
      <c r="G122" s="35">
        <v>0</v>
      </c>
      <c r="H122" t="str">
        <f t="shared" si="5"/>
        <v/>
      </c>
      <c r="I122" t="s">
        <v>370</v>
      </c>
    </row>
    <row r="123" spans="1:9" x14ac:dyDescent="0.2">
      <c r="A123" t="s">
        <v>158</v>
      </c>
      <c r="B123" t="s">
        <v>161</v>
      </c>
      <c r="C123" s="14">
        <v>2</v>
      </c>
      <c r="D123" s="14">
        <v>2000</v>
      </c>
      <c r="E123" s="14">
        <v>2000</v>
      </c>
      <c r="F123" s="99">
        <f t="shared" si="4"/>
        <v>6</v>
      </c>
      <c r="G123">
        <v>1</v>
      </c>
      <c r="H123" t="str">
        <f t="shared" si="5"/>
        <v>Mongolia</v>
      </c>
    </row>
    <row r="124" spans="1:9" x14ac:dyDescent="0.2">
      <c r="A124" t="s">
        <v>158</v>
      </c>
      <c r="B124" t="s">
        <v>161</v>
      </c>
      <c r="C124" s="14">
        <v>3</v>
      </c>
      <c r="D124" s="14">
        <v>2005</v>
      </c>
      <c r="E124" s="14">
        <v>2005</v>
      </c>
      <c r="F124" s="99">
        <f t="shared" si="4"/>
        <v>6</v>
      </c>
      <c r="G124" s="14">
        <v>0</v>
      </c>
      <c r="H124" t="str">
        <f t="shared" si="5"/>
        <v/>
      </c>
    </row>
    <row r="125" spans="1:9" x14ac:dyDescent="0.2">
      <c r="A125" t="s">
        <v>158</v>
      </c>
      <c r="B125" t="s">
        <v>161</v>
      </c>
      <c r="C125" s="14">
        <v>4</v>
      </c>
      <c r="D125" s="14">
        <v>2010</v>
      </c>
      <c r="E125" s="14">
        <v>2010</v>
      </c>
      <c r="F125" s="99">
        <f t="shared" si="4"/>
        <v>6</v>
      </c>
      <c r="G125" s="14">
        <v>0</v>
      </c>
      <c r="H125" t="str">
        <f t="shared" si="5"/>
        <v/>
      </c>
    </row>
    <row r="126" spans="1:9" x14ac:dyDescent="0.2">
      <c r="A126" t="s">
        <v>158</v>
      </c>
      <c r="B126" t="s">
        <v>161</v>
      </c>
      <c r="C126" s="14">
        <v>4</v>
      </c>
      <c r="D126" s="14">
        <v>2012</v>
      </c>
      <c r="E126" s="14">
        <v>2012</v>
      </c>
      <c r="F126" s="99">
        <f t="shared" si="4"/>
        <v>6</v>
      </c>
      <c r="G126" s="14">
        <v>0</v>
      </c>
      <c r="H126" t="str">
        <f t="shared" si="5"/>
        <v/>
      </c>
      <c r="I126" t="s">
        <v>375</v>
      </c>
    </row>
    <row r="127" spans="1:9" x14ac:dyDescent="0.2">
      <c r="A127" t="s">
        <v>158</v>
      </c>
      <c r="B127" t="s">
        <v>161</v>
      </c>
      <c r="C127" s="14">
        <v>4</v>
      </c>
      <c r="D127" s="14">
        <v>2012</v>
      </c>
      <c r="E127" s="14">
        <v>2012</v>
      </c>
      <c r="F127" s="99">
        <f t="shared" si="4"/>
        <v>6</v>
      </c>
      <c r="G127" s="14">
        <v>0</v>
      </c>
      <c r="H127" t="str">
        <f t="shared" si="5"/>
        <v/>
      </c>
      <c r="I127" t="s">
        <v>376</v>
      </c>
    </row>
    <row r="128" spans="1:9" x14ac:dyDescent="0.2">
      <c r="A128" t="s">
        <v>158</v>
      </c>
      <c r="B128" t="s">
        <v>161</v>
      </c>
      <c r="C128" s="14">
        <v>5</v>
      </c>
      <c r="D128" s="14">
        <v>2013</v>
      </c>
      <c r="E128" s="14">
        <v>2013</v>
      </c>
      <c r="F128" s="99">
        <f t="shared" si="4"/>
        <v>6</v>
      </c>
      <c r="G128" s="14">
        <v>0</v>
      </c>
      <c r="H128" t="str">
        <f t="shared" si="5"/>
        <v/>
      </c>
    </row>
    <row r="129" spans="1:9" x14ac:dyDescent="0.2">
      <c r="A129" t="s">
        <v>154</v>
      </c>
      <c r="B129" t="s">
        <v>37</v>
      </c>
      <c r="C129" s="14">
        <v>3</v>
      </c>
      <c r="D129" s="14">
        <v>2005</v>
      </c>
      <c r="E129" s="14">
        <v>2006</v>
      </c>
      <c r="F129" s="99">
        <f t="shared" si="4"/>
        <v>3</v>
      </c>
      <c r="G129">
        <v>1</v>
      </c>
      <c r="H129" t="str">
        <f t="shared" si="5"/>
        <v>Montenegro</v>
      </c>
    </row>
    <row r="130" spans="1:9" x14ac:dyDescent="0.2">
      <c r="A130" t="s">
        <v>154</v>
      </c>
      <c r="B130" t="s">
        <v>37</v>
      </c>
      <c r="C130" s="14">
        <v>5</v>
      </c>
      <c r="D130" s="14">
        <v>2013</v>
      </c>
      <c r="E130" s="14">
        <v>2013</v>
      </c>
      <c r="F130" s="99">
        <f t="shared" si="4"/>
        <v>3</v>
      </c>
      <c r="G130" s="35">
        <v>0</v>
      </c>
      <c r="H130" t="str">
        <f t="shared" si="5"/>
        <v/>
      </c>
    </row>
    <row r="131" spans="1:9" x14ac:dyDescent="0.2">
      <c r="A131" t="s">
        <v>154</v>
      </c>
      <c r="B131" t="s">
        <v>37</v>
      </c>
      <c r="C131" s="14">
        <v>5</v>
      </c>
      <c r="D131" s="14">
        <v>2013</v>
      </c>
      <c r="E131" s="14">
        <v>2013</v>
      </c>
      <c r="F131" s="99">
        <f t="shared" si="4"/>
        <v>3</v>
      </c>
      <c r="G131" s="35">
        <v>0</v>
      </c>
      <c r="I131" t="s">
        <v>190</v>
      </c>
    </row>
    <row r="132" spans="1:9" x14ac:dyDescent="0.2">
      <c r="A132" t="s">
        <v>165</v>
      </c>
      <c r="B132" t="s">
        <v>121</v>
      </c>
      <c r="C132" s="14">
        <v>1</v>
      </c>
      <c r="D132" s="14">
        <v>1995</v>
      </c>
      <c r="E132" s="14">
        <v>1995</v>
      </c>
      <c r="F132" s="99">
        <f t="shared" si="4"/>
        <v>2</v>
      </c>
      <c r="G132">
        <v>1</v>
      </c>
      <c r="H132" t="str">
        <f t="shared" ref="H132:H159" si="6">IF(G132=1,B132,"")</f>
        <v>Mozambique</v>
      </c>
    </row>
    <row r="133" spans="1:9" x14ac:dyDescent="0.2">
      <c r="A133" t="s">
        <v>165</v>
      </c>
      <c r="B133" t="s">
        <v>121</v>
      </c>
      <c r="C133" s="14">
        <v>3</v>
      </c>
      <c r="D133" s="14">
        <v>2008</v>
      </c>
      <c r="E133" s="14">
        <v>2008</v>
      </c>
      <c r="F133" s="99">
        <f t="shared" si="4"/>
        <v>2</v>
      </c>
      <c r="G133" s="14">
        <v>0</v>
      </c>
      <c r="H133" t="str">
        <f t="shared" si="6"/>
        <v/>
      </c>
    </row>
    <row r="134" spans="1:9" x14ac:dyDescent="0.2">
      <c r="A134" t="s">
        <v>158</v>
      </c>
      <c r="B134" t="s">
        <v>162</v>
      </c>
      <c r="C134" s="14">
        <v>1</v>
      </c>
      <c r="D134" s="14">
        <v>1995</v>
      </c>
      <c r="E134" s="14">
        <v>1995</v>
      </c>
      <c r="F134" s="99">
        <f t="shared" si="4"/>
        <v>3</v>
      </c>
      <c r="G134">
        <v>1</v>
      </c>
      <c r="H134" t="str">
        <f t="shared" si="6"/>
        <v>Myanmar</v>
      </c>
    </row>
    <row r="135" spans="1:9" x14ac:dyDescent="0.2">
      <c r="A135" t="s">
        <v>158</v>
      </c>
      <c r="B135" t="s">
        <v>162</v>
      </c>
      <c r="C135" s="14">
        <v>2</v>
      </c>
      <c r="D135" s="14">
        <v>2000</v>
      </c>
      <c r="E135" s="14">
        <v>2000</v>
      </c>
      <c r="F135" s="99">
        <f t="shared" si="4"/>
        <v>3</v>
      </c>
      <c r="G135" s="14">
        <v>0</v>
      </c>
      <c r="H135" t="str">
        <f t="shared" si="6"/>
        <v/>
      </c>
    </row>
    <row r="136" spans="1:9" x14ac:dyDescent="0.2">
      <c r="A136" t="s">
        <v>158</v>
      </c>
      <c r="B136" t="s">
        <v>162</v>
      </c>
      <c r="C136" s="14">
        <v>3</v>
      </c>
      <c r="D136" s="14">
        <v>2009</v>
      </c>
      <c r="E136" s="14">
        <v>2010</v>
      </c>
      <c r="F136" s="99">
        <f t="shared" ref="F136:F199" si="7">COUNTIF(B$8:B$213,B136)</f>
        <v>3</v>
      </c>
      <c r="G136" s="14">
        <v>0</v>
      </c>
      <c r="H136" t="str">
        <f t="shared" si="6"/>
        <v/>
      </c>
    </row>
    <row r="137" spans="1:9" x14ac:dyDescent="0.2">
      <c r="A137" t="s">
        <v>87</v>
      </c>
      <c r="B137" t="s">
        <v>91</v>
      </c>
      <c r="C137" s="14">
        <v>4</v>
      </c>
      <c r="D137" s="14">
        <v>2010</v>
      </c>
      <c r="E137" s="14">
        <v>2010</v>
      </c>
      <c r="F137" s="99">
        <f t="shared" si="7"/>
        <v>1</v>
      </c>
      <c r="G137">
        <v>1</v>
      </c>
      <c r="H137" t="str">
        <f t="shared" si="6"/>
        <v>Nepal</v>
      </c>
      <c r="I137" t="s">
        <v>195</v>
      </c>
    </row>
    <row r="138" spans="1:9" x14ac:dyDescent="0.2">
      <c r="A138" t="s">
        <v>174</v>
      </c>
      <c r="B138" t="s">
        <v>123</v>
      </c>
      <c r="C138" s="14">
        <v>1</v>
      </c>
      <c r="D138" s="14">
        <v>1995</v>
      </c>
      <c r="E138" s="14">
        <v>1995</v>
      </c>
      <c r="F138" s="99">
        <f t="shared" si="7"/>
        <v>2</v>
      </c>
      <c r="G138">
        <v>1</v>
      </c>
      <c r="H138" t="str">
        <f t="shared" si="6"/>
        <v>Niger</v>
      </c>
    </row>
    <row r="139" spans="1:9" x14ac:dyDescent="0.2">
      <c r="A139" t="s">
        <v>174</v>
      </c>
      <c r="B139" t="s">
        <v>123</v>
      </c>
      <c r="C139" s="14">
        <v>2</v>
      </c>
      <c r="D139" s="14">
        <v>2000</v>
      </c>
      <c r="E139" s="14">
        <v>2000</v>
      </c>
      <c r="F139" s="99">
        <f t="shared" si="7"/>
        <v>2</v>
      </c>
      <c r="G139" s="14">
        <v>0</v>
      </c>
      <c r="H139" t="str">
        <f t="shared" si="6"/>
        <v/>
      </c>
    </row>
    <row r="140" spans="1:9" x14ac:dyDescent="0.2">
      <c r="A140" t="s">
        <v>174</v>
      </c>
      <c r="B140" t="s">
        <v>124</v>
      </c>
      <c r="C140" s="14">
        <v>3</v>
      </c>
      <c r="D140" s="14">
        <v>2007</v>
      </c>
      <c r="E140" s="14">
        <v>2007</v>
      </c>
      <c r="F140" s="99">
        <f t="shared" si="7"/>
        <v>2</v>
      </c>
      <c r="G140">
        <v>1</v>
      </c>
      <c r="H140" t="str">
        <f t="shared" si="6"/>
        <v>Nigeria</v>
      </c>
    </row>
    <row r="141" spans="1:9" x14ac:dyDescent="0.2">
      <c r="A141" t="s">
        <v>174</v>
      </c>
      <c r="B141" t="s">
        <v>124</v>
      </c>
      <c r="C141" s="14">
        <v>4</v>
      </c>
      <c r="D141" s="14">
        <v>2011</v>
      </c>
      <c r="E141" s="14">
        <v>2011</v>
      </c>
      <c r="F141" s="99">
        <f t="shared" si="7"/>
        <v>2</v>
      </c>
      <c r="G141" s="14">
        <v>0</v>
      </c>
      <c r="H141" t="str">
        <f t="shared" si="6"/>
        <v/>
      </c>
    </row>
    <row r="142" spans="1:9" x14ac:dyDescent="0.2">
      <c r="A142" t="s">
        <v>74</v>
      </c>
      <c r="B142" t="s">
        <v>321</v>
      </c>
      <c r="C142" s="14">
        <v>4</v>
      </c>
      <c r="D142" s="14">
        <v>2010</v>
      </c>
      <c r="E142" s="14">
        <v>2010</v>
      </c>
      <c r="F142" s="99">
        <f t="shared" si="7"/>
        <v>2</v>
      </c>
      <c r="G142" s="14">
        <v>1</v>
      </c>
      <c r="H142" t="str">
        <f t="shared" si="6"/>
        <v>Occupied Palestinian Territories</v>
      </c>
      <c r="I142" t="s">
        <v>454</v>
      </c>
    </row>
    <row r="143" spans="1:9" x14ac:dyDescent="0.2">
      <c r="A143" s="97" t="s">
        <v>74</v>
      </c>
      <c r="B143" t="s">
        <v>321</v>
      </c>
      <c r="C143" s="98">
        <v>5</v>
      </c>
      <c r="D143" s="98">
        <v>2014</v>
      </c>
      <c r="E143" s="98">
        <v>2014</v>
      </c>
      <c r="F143" s="99">
        <f t="shared" si="7"/>
        <v>2</v>
      </c>
      <c r="G143" s="98">
        <v>0</v>
      </c>
      <c r="H143" s="97" t="str">
        <f t="shared" si="6"/>
        <v/>
      </c>
      <c r="I143" s="97"/>
    </row>
    <row r="144" spans="1:9" x14ac:dyDescent="0.2">
      <c r="A144" s="43" t="s">
        <v>74</v>
      </c>
      <c r="B144" s="43" t="s">
        <v>337</v>
      </c>
      <c r="C144" s="102">
        <v>5</v>
      </c>
      <c r="D144" s="102">
        <v>2014</v>
      </c>
      <c r="E144" s="102">
        <v>2014</v>
      </c>
      <c r="F144" s="99">
        <f t="shared" si="7"/>
        <v>1</v>
      </c>
      <c r="G144" s="102">
        <v>1</v>
      </c>
      <c r="H144" s="43" t="str">
        <f t="shared" si="6"/>
        <v>Oman</v>
      </c>
      <c r="I144" s="43" t="s">
        <v>338</v>
      </c>
    </row>
    <row r="145" spans="1:9" x14ac:dyDescent="0.2">
      <c r="A145" t="s">
        <v>87</v>
      </c>
      <c r="B145" t="s">
        <v>92</v>
      </c>
      <c r="C145" s="14">
        <v>4</v>
      </c>
      <c r="D145" s="14">
        <v>2010</v>
      </c>
      <c r="E145" s="14">
        <v>2010</v>
      </c>
      <c r="F145" s="99">
        <f t="shared" si="7"/>
        <v>2</v>
      </c>
      <c r="G145">
        <v>1</v>
      </c>
      <c r="H145" t="str">
        <f t="shared" si="6"/>
        <v>Pakistan</v>
      </c>
      <c r="I145" t="s">
        <v>196</v>
      </c>
    </row>
    <row r="146" spans="1:9" x14ac:dyDescent="0.2">
      <c r="A146" t="s">
        <v>87</v>
      </c>
      <c r="B146" t="s">
        <v>92</v>
      </c>
      <c r="C146" s="14">
        <v>4</v>
      </c>
      <c r="D146" s="14">
        <v>2011</v>
      </c>
      <c r="E146" s="14">
        <v>2011</v>
      </c>
      <c r="F146" s="99">
        <f t="shared" si="7"/>
        <v>2</v>
      </c>
      <c r="G146" s="14">
        <v>0</v>
      </c>
      <c r="H146" t="str">
        <f t="shared" si="6"/>
        <v/>
      </c>
      <c r="I146" t="s">
        <v>197</v>
      </c>
    </row>
    <row r="147" spans="1:9" x14ac:dyDescent="0.2">
      <c r="A147" t="s">
        <v>74</v>
      </c>
      <c r="B147" t="s">
        <v>170</v>
      </c>
      <c r="C147" s="14">
        <v>3</v>
      </c>
      <c r="D147" s="14">
        <v>2006</v>
      </c>
      <c r="E147" s="14">
        <v>2006</v>
      </c>
      <c r="F147" s="99">
        <f t="shared" si="7"/>
        <v>1</v>
      </c>
      <c r="G147">
        <v>1</v>
      </c>
      <c r="H147" t="str">
        <f t="shared" si="6"/>
        <v>Palestinians in Syrian Arab Republic</v>
      </c>
    </row>
    <row r="148" spans="1:9" x14ac:dyDescent="0.2">
      <c r="A148" s="3" t="s">
        <v>172</v>
      </c>
      <c r="B148" t="s">
        <v>66</v>
      </c>
      <c r="C148" s="14">
        <v>5</v>
      </c>
      <c r="D148" s="14">
        <v>2012</v>
      </c>
      <c r="E148" s="14">
        <v>2013</v>
      </c>
      <c r="F148" s="99">
        <f t="shared" si="7"/>
        <v>1</v>
      </c>
      <c r="G148" s="14">
        <v>1</v>
      </c>
      <c r="H148" t="str">
        <f t="shared" si="6"/>
        <v>Panama</v>
      </c>
      <c r="I148" t="s">
        <v>453</v>
      </c>
    </row>
    <row r="149" spans="1:9" x14ac:dyDescent="0.2">
      <c r="A149" t="s">
        <v>158</v>
      </c>
      <c r="B149" t="s">
        <v>15</v>
      </c>
      <c r="C149" s="14">
        <v>2</v>
      </c>
      <c r="D149" s="14">
        <v>2000</v>
      </c>
      <c r="E149" s="14">
        <v>2000</v>
      </c>
      <c r="F149" s="99">
        <f t="shared" si="7"/>
        <v>1</v>
      </c>
      <c r="G149">
        <v>1</v>
      </c>
      <c r="H149" t="str">
        <f t="shared" si="6"/>
        <v>Philippines</v>
      </c>
    </row>
    <row r="150" spans="1:9" x14ac:dyDescent="0.2">
      <c r="A150" t="s">
        <v>74</v>
      </c>
      <c r="B150" t="s">
        <v>340</v>
      </c>
      <c r="C150" s="14">
        <v>4</v>
      </c>
      <c r="D150" s="14">
        <v>2012</v>
      </c>
      <c r="E150" s="14">
        <v>2012</v>
      </c>
      <c r="F150" s="99">
        <f t="shared" si="7"/>
        <v>1</v>
      </c>
      <c r="G150" s="35">
        <v>1</v>
      </c>
      <c r="H150" t="str">
        <f t="shared" si="6"/>
        <v>Qatar</v>
      </c>
    </row>
    <row r="151" spans="1:9" x14ac:dyDescent="0.2">
      <c r="A151" t="s">
        <v>165</v>
      </c>
      <c r="B151" t="s">
        <v>125</v>
      </c>
      <c r="C151" s="14">
        <v>2</v>
      </c>
      <c r="D151" s="14">
        <v>2000</v>
      </c>
      <c r="E151" s="14">
        <v>2000</v>
      </c>
      <c r="F151" s="99">
        <f t="shared" si="7"/>
        <v>1</v>
      </c>
      <c r="G151">
        <v>1</v>
      </c>
      <c r="H151" t="str">
        <f t="shared" si="6"/>
        <v>Rwanda</v>
      </c>
    </row>
    <row r="152" spans="1:9" x14ac:dyDescent="0.2">
      <c r="A152" t="s">
        <v>174</v>
      </c>
      <c r="B152" t="s">
        <v>126</v>
      </c>
      <c r="C152" s="14">
        <v>2</v>
      </c>
      <c r="D152" s="14">
        <v>2000</v>
      </c>
      <c r="E152" s="14">
        <v>2000</v>
      </c>
      <c r="F152" s="99">
        <f t="shared" si="7"/>
        <v>2</v>
      </c>
      <c r="G152">
        <v>1</v>
      </c>
      <c r="H152" t="str">
        <f t="shared" si="6"/>
        <v>Sao Tome and Principe</v>
      </c>
    </row>
    <row r="153" spans="1:9" x14ac:dyDescent="0.2">
      <c r="A153" t="s">
        <v>174</v>
      </c>
      <c r="B153" t="s">
        <v>126</v>
      </c>
      <c r="C153" s="14">
        <v>3</v>
      </c>
      <c r="D153" s="14">
        <v>2006</v>
      </c>
      <c r="E153" s="14">
        <v>2006</v>
      </c>
      <c r="F153" s="99">
        <f t="shared" si="7"/>
        <v>2</v>
      </c>
      <c r="G153" s="14">
        <v>0</v>
      </c>
      <c r="H153" t="str">
        <f t="shared" si="6"/>
        <v/>
      </c>
    </row>
    <row r="154" spans="1:9" x14ac:dyDescent="0.2">
      <c r="A154" t="s">
        <v>174</v>
      </c>
      <c r="B154" t="s">
        <v>127</v>
      </c>
      <c r="C154" s="14">
        <v>1</v>
      </c>
      <c r="D154" s="14">
        <v>1995</v>
      </c>
      <c r="E154" s="14">
        <v>1995</v>
      </c>
      <c r="F154" s="99">
        <f t="shared" si="7"/>
        <v>2</v>
      </c>
      <c r="G154">
        <v>1</v>
      </c>
      <c r="H154" t="str">
        <f t="shared" si="6"/>
        <v>Senegal</v>
      </c>
    </row>
    <row r="155" spans="1:9" x14ac:dyDescent="0.2">
      <c r="A155" t="s">
        <v>174</v>
      </c>
      <c r="B155" t="s">
        <v>127</v>
      </c>
      <c r="C155" s="14">
        <v>2</v>
      </c>
      <c r="D155" s="14">
        <v>2000</v>
      </c>
      <c r="E155" s="14">
        <v>2000</v>
      </c>
      <c r="F155" s="99">
        <f t="shared" si="7"/>
        <v>2</v>
      </c>
      <c r="G155" s="14">
        <v>0</v>
      </c>
      <c r="H155" t="str">
        <f t="shared" si="6"/>
        <v/>
      </c>
    </row>
    <row r="156" spans="1:9" x14ac:dyDescent="0.2">
      <c r="A156" t="s">
        <v>154</v>
      </c>
      <c r="B156" t="s">
        <v>41</v>
      </c>
      <c r="C156" s="14">
        <v>3</v>
      </c>
      <c r="D156" s="14">
        <v>2005</v>
      </c>
      <c r="E156" s="14">
        <v>2006</v>
      </c>
      <c r="F156" s="99">
        <f t="shared" si="7"/>
        <v>5</v>
      </c>
      <c r="G156">
        <v>1</v>
      </c>
      <c r="H156" t="str">
        <f t="shared" si="6"/>
        <v>Serbia</v>
      </c>
    </row>
    <row r="157" spans="1:9" x14ac:dyDescent="0.2">
      <c r="A157" t="s">
        <v>154</v>
      </c>
      <c r="B157" t="s">
        <v>41</v>
      </c>
      <c r="C157" s="14">
        <v>4</v>
      </c>
      <c r="D157" s="14">
        <v>2010</v>
      </c>
      <c r="E157" s="14">
        <v>2010</v>
      </c>
      <c r="F157" s="99">
        <f t="shared" si="7"/>
        <v>5</v>
      </c>
      <c r="G157" s="14">
        <v>0</v>
      </c>
      <c r="H157" t="str">
        <f t="shared" si="6"/>
        <v/>
      </c>
    </row>
    <row r="158" spans="1:9" x14ac:dyDescent="0.2">
      <c r="A158" t="s">
        <v>154</v>
      </c>
      <c r="B158" t="s">
        <v>41</v>
      </c>
      <c r="C158" s="14">
        <v>4</v>
      </c>
      <c r="D158" s="14">
        <v>2010</v>
      </c>
      <c r="E158" s="14">
        <v>2010</v>
      </c>
      <c r="F158" s="99">
        <f t="shared" si="7"/>
        <v>5</v>
      </c>
      <c r="G158" s="14">
        <v>0</v>
      </c>
      <c r="H158" t="str">
        <f t="shared" si="6"/>
        <v/>
      </c>
      <c r="I158" t="s">
        <v>194</v>
      </c>
    </row>
    <row r="159" spans="1:9" x14ac:dyDescent="0.2">
      <c r="A159" s="97" t="s">
        <v>154</v>
      </c>
      <c r="B159" s="97" t="s">
        <v>41</v>
      </c>
      <c r="C159" s="98">
        <v>5</v>
      </c>
      <c r="D159" s="98">
        <v>2014</v>
      </c>
      <c r="E159" s="98">
        <v>2014</v>
      </c>
      <c r="F159" s="99">
        <f t="shared" si="7"/>
        <v>5</v>
      </c>
      <c r="G159" s="98">
        <v>0</v>
      </c>
      <c r="H159" s="97" t="str">
        <f t="shared" si="6"/>
        <v/>
      </c>
      <c r="I159" s="97"/>
    </row>
    <row r="160" spans="1:9" x14ac:dyDescent="0.2">
      <c r="A160" s="97" t="s">
        <v>154</v>
      </c>
      <c r="B160" s="97" t="s">
        <v>41</v>
      </c>
      <c r="C160" s="98">
        <v>5</v>
      </c>
      <c r="D160" s="98">
        <v>2014</v>
      </c>
      <c r="E160" s="98">
        <v>2014</v>
      </c>
      <c r="F160" s="99">
        <f t="shared" si="7"/>
        <v>5</v>
      </c>
      <c r="G160" s="98">
        <v>0</v>
      </c>
      <c r="H160" s="97"/>
      <c r="I160" s="97" t="s">
        <v>490</v>
      </c>
    </row>
    <row r="161" spans="1:9" x14ac:dyDescent="0.2">
      <c r="A161" t="s">
        <v>174</v>
      </c>
      <c r="B161" t="s">
        <v>129</v>
      </c>
      <c r="C161" s="14">
        <v>2</v>
      </c>
      <c r="D161" s="14">
        <v>2000</v>
      </c>
      <c r="E161" s="14">
        <v>2000</v>
      </c>
      <c r="F161" s="99">
        <f t="shared" si="7"/>
        <v>3</v>
      </c>
      <c r="G161">
        <v>1</v>
      </c>
      <c r="H161" t="str">
        <f t="shared" ref="H161:H192" si="8">IF(G161=1,B161,"")</f>
        <v>Sierra Leone</v>
      </c>
    </row>
    <row r="162" spans="1:9" x14ac:dyDescent="0.2">
      <c r="A162" t="s">
        <v>174</v>
      </c>
      <c r="B162" t="s">
        <v>129</v>
      </c>
      <c r="C162" s="14">
        <v>3</v>
      </c>
      <c r="D162" s="14">
        <v>2005</v>
      </c>
      <c r="E162" s="14">
        <v>2005</v>
      </c>
      <c r="F162" s="99">
        <f t="shared" si="7"/>
        <v>3</v>
      </c>
      <c r="G162" s="14">
        <v>0</v>
      </c>
      <c r="H162" t="str">
        <f t="shared" si="8"/>
        <v/>
      </c>
    </row>
    <row r="163" spans="1:9" x14ac:dyDescent="0.2">
      <c r="A163" t="s">
        <v>174</v>
      </c>
      <c r="B163" t="s">
        <v>129</v>
      </c>
      <c r="C163" s="14">
        <v>4</v>
      </c>
      <c r="D163" s="14">
        <v>2010</v>
      </c>
      <c r="E163" s="14">
        <v>2010</v>
      </c>
      <c r="F163" s="99">
        <f t="shared" si="7"/>
        <v>3</v>
      </c>
      <c r="G163" s="14">
        <v>0</v>
      </c>
      <c r="H163" t="str">
        <f t="shared" si="8"/>
        <v/>
      </c>
    </row>
    <row r="164" spans="1:9" x14ac:dyDescent="0.2">
      <c r="A164" t="s">
        <v>165</v>
      </c>
      <c r="B164" t="s">
        <v>166</v>
      </c>
      <c r="C164" s="14">
        <v>2</v>
      </c>
      <c r="D164" s="14">
        <v>1999</v>
      </c>
      <c r="E164" s="14">
        <v>1999</v>
      </c>
      <c r="F164" s="99">
        <f t="shared" si="7"/>
        <v>4</v>
      </c>
      <c r="G164">
        <v>1</v>
      </c>
      <c r="H164" t="str">
        <f t="shared" si="8"/>
        <v>Somalia</v>
      </c>
    </row>
    <row r="165" spans="1:9" x14ac:dyDescent="0.2">
      <c r="A165" t="s">
        <v>165</v>
      </c>
      <c r="B165" t="s">
        <v>166</v>
      </c>
      <c r="C165" s="14">
        <v>3</v>
      </c>
      <c r="D165" s="14">
        <v>2006</v>
      </c>
      <c r="E165" s="14">
        <v>2006</v>
      </c>
      <c r="F165" s="99">
        <f t="shared" si="7"/>
        <v>4</v>
      </c>
      <c r="G165" s="14">
        <v>0</v>
      </c>
      <c r="H165" t="str">
        <f t="shared" si="8"/>
        <v/>
      </c>
    </row>
    <row r="166" spans="1:9" x14ac:dyDescent="0.2">
      <c r="A166" t="s">
        <v>165</v>
      </c>
      <c r="B166" t="s">
        <v>166</v>
      </c>
      <c r="C166" s="14">
        <v>4</v>
      </c>
      <c r="D166" s="14">
        <v>2011</v>
      </c>
      <c r="E166" s="14">
        <v>2011</v>
      </c>
      <c r="F166" s="99">
        <f t="shared" si="7"/>
        <v>4</v>
      </c>
      <c r="G166" s="14">
        <v>0</v>
      </c>
      <c r="H166" t="str">
        <f t="shared" si="8"/>
        <v/>
      </c>
      <c r="I166" t="s">
        <v>372</v>
      </c>
    </row>
    <row r="167" spans="1:9" x14ac:dyDescent="0.2">
      <c r="A167" t="s">
        <v>165</v>
      </c>
      <c r="B167" t="s">
        <v>166</v>
      </c>
      <c r="C167" s="14">
        <v>4</v>
      </c>
      <c r="D167" s="14">
        <v>2011</v>
      </c>
      <c r="E167" s="14">
        <v>2011</v>
      </c>
      <c r="F167" s="99">
        <f t="shared" si="7"/>
        <v>4</v>
      </c>
      <c r="G167" s="14">
        <v>0</v>
      </c>
      <c r="H167" t="str">
        <f t="shared" si="8"/>
        <v/>
      </c>
      <c r="I167" t="s">
        <v>373</v>
      </c>
    </row>
    <row r="168" spans="1:9" x14ac:dyDescent="0.2">
      <c r="A168" t="s">
        <v>165</v>
      </c>
      <c r="B168" t="s">
        <v>322</v>
      </c>
      <c r="C168" s="14">
        <v>4</v>
      </c>
      <c r="D168" s="14">
        <v>2010</v>
      </c>
      <c r="E168" s="14">
        <v>2010</v>
      </c>
      <c r="F168" s="99">
        <f t="shared" si="7"/>
        <v>1</v>
      </c>
      <c r="G168" s="14">
        <v>1</v>
      </c>
      <c r="H168" t="str">
        <f t="shared" si="8"/>
        <v>South Sudan</v>
      </c>
    </row>
    <row r="169" spans="1:9" x14ac:dyDescent="0.2">
      <c r="A169" s="3" t="s">
        <v>172</v>
      </c>
      <c r="B169" t="s">
        <v>69</v>
      </c>
      <c r="C169" s="14">
        <v>4</v>
      </c>
      <c r="D169" s="14">
        <v>2012</v>
      </c>
      <c r="E169" s="14">
        <v>2012</v>
      </c>
      <c r="F169" s="99">
        <f t="shared" si="7"/>
        <v>1</v>
      </c>
      <c r="G169" s="14">
        <v>1</v>
      </c>
      <c r="H169" t="str">
        <f t="shared" si="8"/>
        <v>St. Lucia</v>
      </c>
    </row>
    <row r="170" spans="1:9" x14ac:dyDescent="0.2">
      <c r="A170" t="s">
        <v>74</v>
      </c>
      <c r="B170" t="s">
        <v>131</v>
      </c>
      <c r="C170" s="14">
        <v>2</v>
      </c>
      <c r="D170" s="14">
        <v>2000</v>
      </c>
      <c r="E170" s="14">
        <v>2000</v>
      </c>
      <c r="F170" s="99">
        <f t="shared" si="7"/>
        <v>2</v>
      </c>
      <c r="G170">
        <v>1</v>
      </c>
      <c r="H170" t="str">
        <f t="shared" si="8"/>
        <v>Sudan</v>
      </c>
    </row>
    <row r="171" spans="1:9" x14ac:dyDescent="0.2">
      <c r="A171" t="s">
        <v>74</v>
      </c>
      <c r="B171" t="s">
        <v>131</v>
      </c>
      <c r="C171" s="14">
        <v>4</v>
      </c>
      <c r="D171" s="14">
        <v>2010</v>
      </c>
      <c r="E171" s="14">
        <v>2010</v>
      </c>
      <c r="F171" s="99">
        <f t="shared" si="7"/>
        <v>2</v>
      </c>
      <c r="G171" s="14">
        <v>0</v>
      </c>
      <c r="H171" t="str">
        <f t="shared" si="8"/>
        <v/>
      </c>
    </row>
    <row r="172" spans="1:9" x14ac:dyDescent="0.2">
      <c r="A172" s="3" t="s">
        <v>172</v>
      </c>
      <c r="B172" t="s">
        <v>70</v>
      </c>
      <c r="C172" s="14">
        <v>2</v>
      </c>
      <c r="D172" s="14">
        <v>2000</v>
      </c>
      <c r="E172" s="14">
        <v>2000</v>
      </c>
      <c r="F172" s="99">
        <f t="shared" si="7"/>
        <v>3</v>
      </c>
      <c r="G172">
        <v>1</v>
      </c>
      <c r="H172" t="str">
        <f t="shared" si="8"/>
        <v>Suriname</v>
      </c>
    </row>
    <row r="173" spans="1:9" x14ac:dyDescent="0.2">
      <c r="A173" s="3" t="s">
        <v>172</v>
      </c>
      <c r="B173" t="s">
        <v>70</v>
      </c>
      <c r="C173" s="14">
        <v>3</v>
      </c>
      <c r="D173" s="14">
        <v>2006</v>
      </c>
      <c r="E173" s="14">
        <v>2006</v>
      </c>
      <c r="F173" s="99">
        <f t="shared" si="7"/>
        <v>3</v>
      </c>
      <c r="G173" s="14">
        <v>0</v>
      </c>
      <c r="H173" t="str">
        <f t="shared" si="8"/>
        <v/>
      </c>
    </row>
    <row r="174" spans="1:9" x14ac:dyDescent="0.2">
      <c r="A174" s="3" t="s">
        <v>172</v>
      </c>
      <c r="B174" t="s">
        <v>70</v>
      </c>
      <c r="C174" s="14">
        <v>4</v>
      </c>
      <c r="D174" s="14">
        <v>2010</v>
      </c>
      <c r="E174" s="14">
        <v>2010</v>
      </c>
      <c r="F174" s="99">
        <f t="shared" si="7"/>
        <v>3</v>
      </c>
      <c r="G174" s="14">
        <v>0</v>
      </c>
      <c r="H174" t="str">
        <f t="shared" si="8"/>
        <v/>
      </c>
    </row>
    <row r="175" spans="1:9" x14ac:dyDescent="0.2">
      <c r="A175" t="s">
        <v>165</v>
      </c>
      <c r="B175" t="s">
        <v>132</v>
      </c>
      <c r="C175" s="14">
        <v>2</v>
      </c>
      <c r="D175" s="14">
        <v>2000</v>
      </c>
      <c r="E175" s="14">
        <v>2000</v>
      </c>
      <c r="F175" s="99">
        <f t="shared" si="7"/>
        <v>2</v>
      </c>
      <c r="G175">
        <v>1</v>
      </c>
      <c r="H175" t="str">
        <f t="shared" si="8"/>
        <v>Swaziland</v>
      </c>
    </row>
    <row r="176" spans="1:9" x14ac:dyDescent="0.2">
      <c r="A176" t="s">
        <v>165</v>
      </c>
      <c r="B176" t="s">
        <v>132</v>
      </c>
      <c r="C176" s="14">
        <v>4</v>
      </c>
      <c r="D176" s="14">
        <v>2010</v>
      </c>
      <c r="E176" s="14">
        <v>2010</v>
      </c>
      <c r="F176" s="99">
        <f t="shared" si="7"/>
        <v>2</v>
      </c>
      <c r="G176" s="14">
        <v>0</v>
      </c>
      <c r="H176" t="str">
        <f t="shared" si="8"/>
        <v/>
      </c>
    </row>
    <row r="177" spans="1:11" x14ac:dyDescent="0.2">
      <c r="A177" t="s">
        <v>74</v>
      </c>
      <c r="B177" t="s">
        <v>169</v>
      </c>
      <c r="C177" s="14">
        <v>2</v>
      </c>
      <c r="D177" s="14">
        <v>2000</v>
      </c>
      <c r="E177" s="14">
        <v>2000</v>
      </c>
      <c r="F177" s="99">
        <f t="shared" si="7"/>
        <v>2</v>
      </c>
      <c r="G177">
        <v>1</v>
      </c>
      <c r="H177" t="str">
        <f t="shared" si="8"/>
        <v>Syrian Arab Republic</v>
      </c>
    </row>
    <row r="178" spans="1:11" x14ac:dyDescent="0.2">
      <c r="A178" t="s">
        <v>74</v>
      </c>
      <c r="B178" t="s">
        <v>169</v>
      </c>
      <c r="C178" s="14">
        <v>3</v>
      </c>
      <c r="D178" s="14">
        <v>2006</v>
      </c>
      <c r="E178" s="14">
        <v>2006</v>
      </c>
      <c r="F178" s="99">
        <f t="shared" si="7"/>
        <v>2</v>
      </c>
      <c r="G178" s="14">
        <v>0</v>
      </c>
      <c r="H178" t="str">
        <f t="shared" si="8"/>
        <v/>
      </c>
    </row>
    <row r="179" spans="1:11" x14ac:dyDescent="0.2">
      <c r="A179" t="s">
        <v>154</v>
      </c>
      <c r="B179" t="s">
        <v>43</v>
      </c>
      <c r="C179" s="14">
        <v>2</v>
      </c>
      <c r="D179" s="14">
        <v>2000</v>
      </c>
      <c r="E179" s="14">
        <v>2000</v>
      </c>
      <c r="F179" s="99">
        <f t="shared" si="7"/>
        <v>2</v>
      </c>
      <c r="G179">
        <v>1</v>
      </c>
      <c r="H179" t="str">
        <f t="shared" si="8"/>
        <v>Tajikistan</v>
      </c>
    </row>
    <row r="180" spans="1:11" x14ac:dyDescent="0.2">
      <c r="A180" t="s">
        <v>154</v>
      </c>
      <c r="B180" t="s">
        <v>43</v>
      </c>
      <c r="C180" s="14">
        <v>3</v>
      </c>
      <c r="D180" s="14">
        <v>2005</v>
      </c>
      <c r="E180" s="14">
        <v>2005</v>
      </c>
      <c r="F180" s="99">
        <f t="shared" si="7"/>
        <v>2</v>
      </c>
      <c r="G180" s="14">
        <v>0</v>
      </c>
      <c r="H180" t="str">
        <f t="shared" si="8"/>
        <v/>
      </c>
    </row>
    <row r="181" spans="1:11" x14ac:dyDescent="0.2">
      <c r="A181" t="s">
        <v>158</v>
      </c>
      <c r="B181" t="s">
        <v>16</v>
      </c>
      <c r="C181" s="14">
        <v>3</v>
      </c>
      <c r="D181" s="14">
        <v>2005</v>
      </c>
      <c r="E181" s="14">
        <v>2006</v>
      </c>
      <c r="F181" s="99">
        <f t="shared" si="7"/>
        <v>3</v>
      </c>
      <c r="G181">
        <v>1</v>
      </c>
      <c r="H181" t="str">
        <f t="shared" si="8"/>
        <v>Thailand</v>
      </c>
    </row>
    <row r="182" spans="1:11" x14ac:dyDescent="0.2">
      <c r="A182" t="s">
        <v>158</v>
      </c>
      <c r="B182" t="s">
        <v>16</v>
      </c>
      <c r="C182" s="14">
        <v>4</v>
      </c>
      <c r="D182" s="14">
        <v>2012</v>
      </c>
      <c r="E182" s="14">
        <v>2012</v>
      </c>
      <c r="F182" s="99">
        <f t="shared" si="7"/>
        <v>3</v>
      </c>
      <c r="G182" s="35">
        <v>0</v>
      </c>
      <c r="H182" t="str">
        <f t="shared" si="8"/>
        <v/>
      </c>
    </row>
    <row r="183" spans="1:11" x14ac:dyDescent="0.2">
      <c r="A183" s="97" t="s">
        <v>158</v>
      </c>
      <c r="B183" s="97" t="s">
        <v>16</v>
      </c>
      <c r="C183" s="98">
        <v>4</v>
      </c>
      <c r="D183" s="98">
        <v>2012</v>
      </c>
      <c r="E183" s="98">
        <v>2013</v>
      </c>
      <c r="F183" s="99">
        <f t="shared" si="7"/>
        <v>3</v>
      </c>
      <c r="G183" s="98">
        <v>0</v>
      </c>
      <c r="H183" s="97" t="str">
        <f t="shared" si="8"/>
        <v/>
      </c>
      <c r="I183" s="97"/>
    </row>
    <row r="184" spans="1:11" x14ac:dyDescent="0.2">
      <c r="A184" t="s">
        <v>174</v>
      </c>
      <c r="B184" t="s">
        <v>134</v>
      </c>
      <c r="C184" s="14">
        <v>2</v>
      </c>
      <c r="D184" s="14">
        <v>2000</v>
      </c>
      <c r="E184" s="14">
        <v>2000</v>
      </c>
      <c r="F184" s="99">
        <f t="shared" si="7"/>
        <v>3</v>
      </c>
      <c r="G184">
        <v>1</v>
      </c>
      <c r="H184" t="str">
        <f t="shared" si="8"/>
        <v>Togo</v>
      </c>
    </row>
    <row r="185" spans="1:11" x14ac:dyDescent="0.2">
      <c r="A185" t="s">
        <v>174</v>
      </c>
      <c r="B185" t="s">
        <v>134</v>
      </c>
      <c r="C185" s="14">
        <v>3</v>
      </c>
      <c r="D185" s="14">
        <v>2006</v>
      </c>
      <c r="E185" s="14">
        <v>2006</v>
      </c>
      <c r="F185" s="99">
        <f t="shared" si="7"/>
        <v>3</v>
      </c>
      <c r="G185" s="14">
        <v>0</v>
      </c>
      <c r="H185" t="str">
        <f t="shared" si="8"/>
        <v/>
      </c>
    </row>
    <row r="186" spans="1:11" x14ac:dyDescent="0.2">
      <c r="A186" t="s">
        <v>174</v>
      </c>
      <c r="B186" t="s">
        <v>134</v>
      </c>
      <c r="C186" s="14">
        <v>4</v>
      </c>
      <c r="D186" s="14">
        <v>2010</v>
      </c>
      <c r="E186" s="14">
        <v>2010</v>
      </c>
      <c r="F186" s="99">
        <f t="shared" si="7"/>
        <v>3</v>
      </c>
      <c r="G186" s="14">
        <v>0</v>
      </c>
      <c r="H186" t="str">
        <f t="shared" si="8"/>
        <v/>
      </c>
    </row>
    <row r="187" spans="1:11" x14ac:dyDescent="0.2">
      <c r="A187" s="3" t="s">
        <v>172</v>
      </c>
      <c r="B187" t="s">
        <v>71</v>
      </c>
      <c r="C187" s="14">
        <v>2</v>
      </c>
      <c r="D187" s="14">
        <v>2000</v>
      </c>
      <c r="E187" s="14">
        <v>2000</v>
      </c>
      <c r="F187" s="99">
        <f t="shared" si="7"/>
        <v>3</v>
      </c>
      <c r="G187">
        <v>1</v>
      </c>
      <c r="H187" t="str">
        <f t="shared" si="8"/>
        <v>Trinidad and Tobago</v>
      </c>
    </row>
    <row r="188" spans="1:11" x14ac:dyDescent="0.2">
      <c r="A188" s="3" t="s">
        <v>172</v>
      </c>
      <c r="B188" t="s">
        <v>71</v>
      </c>
      <c r="C188" s="14">
        <v>3</v>
      </c>
      <c r="D188" s="14">
        <v>2006</v>
      </c>
      <c r="E188" s="14">
        <v>2006</v>
      </c>
      <c r="F188" s="99">
        <f t="shared" si="7"/>
        <v>3</v>
      </c>
      <c r="G188" s="14">
        <v>0</v>
      </c>
      <c r="H188" t="str">
        <f t="shared" si="8"/>
        <v/>
      </c>
    </row>
    <row r="189" spans="1:11" x14ac:dyDescent="0.2">
      <c r="A189" s="3" t="s">
        <v>172</v>
      </c>
      <c r="B189" t="s">
        <v>71</v>
      </c>
      <c r="C189" s="14">
        <v>4</v>
      </c>
      <c r="D189" s="14">
        <v>2011</v>
      </c>
      <c r="E189" s="14">
        <v>2011</v>
      </c>
      <c r="F189" s="99">
        <f t="shared" si="7"/>
        <v>3</v>
      </c>
      <c r="G189" s="14">
        <v>0</v>
      </c>
      <c r="H189" t="str">
        <f t="shared" si="8"/>
        <v/>
      </c>
    </row>
    <row r="190" spans="1:11" x14ac:dyDescent="0.2">
      <c r="A190" t="s">
        <v>74</v>
      </c>
      <c r="B190" t="s">
        <v>83</v>
      </c>
      <c r="C190" s="14">
        <v>2</v>
      </c>
      <c r="D190" s="14">
        <v>2000</v>
      </c>
      <c r="E190" s="14">
        <v>2000</v>
      </c>
      <c r="F190" s="99">
        <f t="shared" si="7"/>
        <v>3</v>
      </c>
      <c r="G190">
        <v>1</v>
      </c>
      <c r="H190" t="str">
        <f t="shared" si="8"/>
        <v>Tunisia</v>
      </c>
    </row>
    <row r="191" spans="1:11" x14ac:dyDescent="0.2">
      <c r="A191" t="s">
        <v>74</v>
      </c>
      <c r="B191" t="s">
        <v>83</v>
      </c>
      <c r="C191" s="14">
        <v>3</v>
      </c>
      <c r="D191" s="14">
        <v>2006</v>
      </c>
      <c r="E191" s="14">
        <v>2006</v>
      </c>
      <c r="F191" s="99">
        <f t="shared" si="7"/>
        <v>3</v>
      </c>
      <c r="G191" s="14">
        <v>0</v>
      </c>
      <c r="H191" t="str">
        <f t="shared" si="8"/>
        <v/>
      </c>
      <c r="J191" s="43"/>
      <c r="K191" s="43"/>
    </row>
    <row r="192" spans="1:11" x14ac:dyDescent="0.2">
      <c r="A192" t="s">
        <v>74</v>
      </c>
      <c r="B192" t="s">
        <v>83</v>
      </c>
      <c r="C192" s="14">
        <v>4</v>
      </c>
      <c r="D192" s="14">
        <v>2011</v>
      </c>
      <c r="E192" s="14">
        <v>2012</v>
      </c>
      <c r="F192" s="99">
        <f t="shared" si="7"/>
        <v>3</v>
      </c>
      <c r="G192" s="14">
        <v>0</v>
      </c>
      <c r="H192" t="str">
        <f t="shared" si="8"/>
        <v/>
      </c>
      <c r="J192" s="43"/>
      <c r="K192" s="43"/>
    </row>
    <row r="193" spans="1:11" x14ac:dyDescent="0.2">
      <c r="A193" t="s">
        <v>154</v>
      </c>
      <c r="B193" t="s">
        <v>46</v>
      </c>
      <c r="C193" s="14">
        <v>3</v>
      </c>
      <c r="D193" s="14">
        <v>2006</v>
      </c>
      <c r="E193" s="14">
        <v>2006</v>
      </c>
      <c r="F193" s="99">
        <f t="shared" si="7"/>
        <v>1</v>
      </c>
      <c r="G193">
        <v>1</v>
      </c>
      <c r="H193" t="str">
        <f t="shared" ref="H193:H213" si="9">IF(G193=1,B193,"")</f>
        <v>Turkmenistan</v>
      </c>
      <c r="J193" s="43"/>
      <c r="K193" s="43"/>
    </row>
    <row r="194" spans="1:11" x14ac:dyDescent="0.2">
      <c r="A194" t="s">
        <v>154</v>
      </c>
      <c r="B194" t="s">
        <v>47</v>
      </c>
      <c r="C194" s="14">
        <v>2</v>
      </c>
      <c r="D194" s="14">
        <v>2000</v>
      </c>
      <c r="E194" s="14">
        <v>2000</v>
      </c>
      <c r="F194" s="99">
        <f t="shared" si="7"/>
        <v>3</v>
      </c>
      <c r="G194">
        <v>1</v>
      </c>
      <c r="H194" t="str">
        <f t="shared" si="9"/>
        <v>Ukraine</v>
      </c>
      <c r="J194" s="43"/>
      <c r="K194" s="43"/>
    </row>
    <row r="195" spans="1:11" x14ac:dyDescent="0.2">
      <c r="A195" t="s">
        <v>154</v>
      </c>
      <c r="B195" t="s">
        <v>47</v>
      </c>
      <c r="C195" s="14">
        <v>3</v>
      </c>
      <c r="D195" s="14">
        <v>2005</v>
      </c>
      <c r="E195" s="14">
        <v>2005</v>
      </c>
      <c r="F195" s="99">
        <f t="shared" si="7"/>
        <v>3</v>
      </c>
      <c r="G195" s="14">
        <v>0</v>
      </c>
      <c r="H195" t="str">
        <f t="shared" si="9"/>
        <v/>
      </c>
      <c r="J195" s="43"/>
      <c r="K195" s="43"/>
    </row>
    <row r="196" spans="1:11" x14ac:dyDescent="0.2">
      <c r="A196" t="s">
        <v>154</v>
      </c>
      <c r="B196" t="s">
        <v>47</v>
      </c>
      <c r="C196" s="14">
        <v>4</v>
      </c>
      <c r="D196" s="14">
        <v>2012</v>
      </c>
      <c r="E196" s="14">
        <v>2012</v>
      </c>
      <c r="F196" s="99">
        <f t="shared" si="7"/>
        <v>3</v>
      </c>
      <c r="G196" s="14">
        <v>0</v>
      </c>
      <c r="H196" t="str">
        <f t="shared" si="9"/>
        <v/>
      </c>
      <c r="J196" s="43"/>
      <c r="K196" s="43"/>
    </row>
    <row r="197" spans="1:11" x14ac:dyDescent="0.2">
      <c r="A197" s="3" t="s">
        <v>172</v>
      </c>
      <c r="B197" t="s">
        <v>72</v>
      </c>
      <c r="C197" s="14">
        <v>4</v>
      </c>
      <c r="D197" s="14">
        <v>2012</v>
      </c>
      <c r="E197" s="14">
        <v>2012</v>
      </c>
      <c r="F197" s="99">
        <f t="shared" si="7"/>
        <v>2</v>
      </c>
      <c r="G197" s="14">
        <v>1</v>
      </c>
      <c r="H197" t="str">
        <f t="shared" si="9"/>
        <v>Uruguay</v>
      </c>
      <c r="I197" t="s">
        <v>341</v>
      </c>
      <c r="J197" s="43"/>
      <c r="K197" s="43"/>
    </row>
    <row r="198" spans="1:11" x14ac:dyDescent="0.2">
      <c r="A198" s="96" t="s">
        <v>172</v>
      </c>
      <c r="B198" s="97" t="s">
        <v>72</v>
      </c>
      <c r="C198" s="98">
        <v>4</v>
      </c>
      <c r="D198" s="98">
        <v>2012</v>
      </c>
      <c r="E198" s="98">
        <v>2013</v>
      </c>
      <c r="F198" s="99">
        <f t="shared" si="7"/>
        <v>2</v>
      </c>
      <c r="G198" s="98">
        <v>0</v>
      </c>
      <c r="H198" s="97" t="str">
        <f t="shared" si="9"/>
        <v/>
      </c>
      <c r="I198" s="97"/>
      <c r="J198" s="43"/>
      <c r="K198" s="43"/>
    </row>
    <row r="199" spans="1:11" x14ac:dyDescent="0.2">
      <c r="A199" t="s">
        <v>154</v>
      </c>
      <c r="B199" t="s">
        <v>157</v>
      </c>
      <c r="C199" s="14">
        <v>2</v>
      </c>
      <c r="D199" s="14">
        <v>2000</v>
      </c>
      <c r="E199" s="14">
        <v>2000</v>
      </c>
      <c r="F199" s="99">
        <f t="shared" si="7"/>
        <v>2</v>
      </c>
      <c r="G199">
        <v>1</v>
      </c>
      <c r="H199" t="str">
        <f t="shared" si="9"/>
        <v>Uzbekistan</v>
      </c>
      <c r="J199" s="43"/>
      <c r="K199" s="43"/>
    </row>
    <row r="200" spans="1:11" x14ac:dyDescent="0.2">
      <c r="A200" t="s">
        <v>154</v>
      </c>
      <c r="B200" t="s">
        <v>157</v>
      </c>
      <c r="C200" s="14">
        <v>3</v>
      </c>
      <c r="D200" s="14">
        <v>2006</v>
      </c>
      <c r="E200" s="14">
        <v>2006</v>
      </c>
      <c r="F200" s="99">
        <f t="shared" ref="F200:F213" si="10">COUNTIF(B$8:B$213,B200)</f>
        <v>2</v>
      </c>
      <c r="G200" s="14">
        <v>0</v>
      </c>
      <c r="H200" t="str">
        <f t="shared" si="9"/>
        <v/>
      </c>
      <c r="J200" s="43"/>
      <c r="K200" s="43"/>
    </row>
    <row r="201" spans="1:11" s="43" customFormat="1" x14ac:dyDescent="0.2">
      <c r="A201" t="s">
        <v>158</v>
      </c>
      <c r="B201" t="s">
        <v>163</v>
      </c>
      <c r="C201" s="14">
        <v>3</v>
      </c>
      <c r="D201" s="14">
        <v>2007</v>
      </c>
      <c r="E201" s="14">
        <v>2007</v>
      </c>
      <c r="F201" s="99">
        <f t="shared" si="10"/>
        <v>1</v>
      </c>
      <c r="G201">
        <v>1</v>
      </c>
      <c r="H201" t="str">
        <f t="shared" si="9"/>
        <v>Vanuatu</v>
      </c>
      <c r="I201"/>
    </row>
    <row r="202" spans="1:11" s="43" customFormat="1" x14ac:dyDescent="0.2">
      <c r="A202" s="3" t="s">
        <v>172</v>
      </c>
      <c r="B202" t="s">
        <v>73</v>
      </c>
      <c r="C202" s="14">
        <v>2</v>
      </c>
      <c r="D202" s="14">
        <v>2000</v>
      </c>
      <c r="E202" s="14">
        <v>2000</v>
      </c>
      <c r="F202" s="99">
        <f t="shared" si="10"/>
        <v>1</v>
      </c>
      <c r="G202">
        <v>1</v>
      </c>
      <c r="H202" t="str">
        <f t="shared" si="9"/>
        <v>Venezuela</v>
      </c>
      <c r="I202"/>
    </row>
    <row r="203" spans="1:11" s="43" customFormat="1" x14ac:dyDescent="0.2">
      <c r="A203" t="s">
        <v>158</v>
      </c>
      <c r="B203" t="s">
        <v>164</v>
      </c>
      <c r="C203" s="14">
        <v>2</v>
      </c>
      <c r="D203" s="14">
        <v>2000</v>
      </c>
      <c r="E203" s="14">
        <v>2000</v>
      </c>
      <c r="F203" s="99">
        <f t="shared" si="10"/>
        <v>4</v>
      </c>
      <c r="G203">
        <v>1</v>
      </c>
      <c r="H203" t="str">
        <f t="shared" si="9"/>
        <v>Viet Nam</v>
      </c>
      <c r="I203"/>
    </row>
    <row r="204" spans="1:11" s="43" customFormat="1" x14ac:dyDescent="0.2">
      <c r="A204" t="s">
        <v>158</v>
      </c>
      <c r="B204" t="s">
        <v>164</v>
      </c>
      <c r="C204" s="14">
        <v>3</v>
      </c>
      <c r="D204" s="14">
        <v>2006</v>
      </c>
      <c r="E204" s="14">
        <v>2006</v>
      </c>
      <c r="F204" s="99">
        <f t="shared" si="10"/>
        <v>4</v>
      </c>
      <c r="G204" s="14">
        <v>0</v>
      </c>
      <c r="H204" t="str">
        <f t="shared" si="9"/>
        <v/>
      </c>
      <c r="I204"/>
    </row>
    <row r="205" spans="1:11" s="43" customFormat="1" x14ac:dyDescent="0.2">
      <c r="A205" t="s">
        <v>158</v>
      </c>
      <c r="B205" t="s">
        <v>164</v>
      </c>
      <c r="C205" s="14">
        <v>4</v>
      </c>
      <c r="D205" s="14">
        <v>2010</v>
      </c>
      <c r="E205" s="14">
        <v>2011</v>
      </c>
      <c r="F205" s="99">
        <f t="shared" si="10"/>
        <v>4</v>
      </c>
      <c r="G205" s="14">
        <v>0</v>
      </c>
      <c r="H205" t="str">
        <f t="shared" si="9"/>
        <v/>
      </c>
      <c r="I205"/>
    </row>
    <row r="206" spans="1:11" s="43" customFormat="1" x14ac:dyDescent="0.2">
      <c r="A206" s="43" t="s">
        <v>158</v>
      </c>
      <c r="B206" s="43" t="s">
        <v>164</v>
      </c>
      <c r="C206" s="102">
        <v>5</v>
      </c>
      <c r="D206" s="102">
        <v>2013</v>
      </c>
      <c r="E206" s="102">
        <v>2014</v>
      </c>
      <c r="F206" s="99">
        <f t="shared" si="10"/>
        <v>4</v>
      </c>
      <c r="G206" s="102">
        <v>0</v>
      </c>
      <c r="H206" s="43" t="str">
        <f t="shared" si="9"/>
        <v/>
      </c>
    </row>
    <row r="207" spans="1:11" s="43" customFormat="1" x14ac:dyDescent="0.2">
      <c r="A207" t="s">
        <v>74</v>
      </c>
      <c r="B207" t="s">
        <v>85</v>
      </c>
      <c r="C207" s="14">
        <v>3</v>
      </c>
      <c r="D207" s="14">
        <v>2006</v>
      </c>
      <c r="E207" s="14">
        <v>2006</v>
      </c>
      <c r="F207" s="99">
        <f t="shared" si="10"/>
        <v>1</v>
      </c>
      <c r="G207">
        <v>1</v>
      </c>
      <c r="H207" t="str">
        <f t="shared" si="9"/>
        <v>Yemen</v>
      </c>
      <c r="I207" t="s">
        <v>331</v>
      </c>
    </row>
    <row r="208" spans="1:11" s="43" customFormat="1" x14ac:dyDescent="0.2">
      <c r="A208" t="s">
        <v>154</v>
      </c>
      <c r="B208" t="s">
        <v>186</v>
      </c>
      <c r="C208" s="14">
        <v>1</v>
      </c>
      <c r="D208" s="14">
        <v>1996</v>
      </c>
      <c r="E208" s="14">
        <v>1996</v>
      </c>
      <c r="F208" s="99">
        <f t="shared" si="10"/>
        <v>2</v>
      </c>
      <c r="G208">
        <v>1</v>
      </c>
      <c r="H208" t="str">
        <f t="shared" si="9"/>
        <v>Yugoslavia</v>
      </c>
      <c r="I208"/>
    </row>
    <row r="209" spans="1:9" s="43" customFormat="1" x14ac:dyDescent="0.2">
      <c r="A209" t="s">
        <v>154</v>
      </c>
      <c r="B209" t="s">
        <v>186</v>
      </c>
      <c r="C209" s="14">
        <v>2</v>
      </c>
      <c r="D209" s="14">
        <v>2000</v>
      </c>
      <c r="E209" s="14">
        <v>2000</v>
      </c>
      <c r="F209" s="99">
        <f t="shared" si="10"/>
        <v>2</v>
      </c>
      <c r="G209" s="14">
        <v>0</v>
      </c>
      <c r="H209" t="str">
        <f t="shared" si="9"/>
        <v/>
      </c>
      <c r="I209"/>
    </row>
    <row r="210" spans="1:9" s="43" customFormat="1" x14ac:dyDescent="0.2">
      <c r="A210" t="s">
        <v>165</v>
      </c>
      <c r="B210" t="s">
        <v>136</v>
      </c>
      <c r="C210" s="14">
        <v>1</v>
      </c>
      <c r="D210" s="14">
        <v>1995</v>
      </c>
      <c r="E210" s="14">
        <v>1995</v>
      </c>
      <c r="F210" s="99">
        <f t="shared" si="10"/>
        <v>2</v>
      </c>
      <c r="G210">
        <v>1</v>
      </c>
      <c r="H210" t="str">
        <f t="shared" si="9"/>
        <v>Zambia</v>
      </c>
      <c r="I210"/>
    </row>
    <row r="211" spans="1:9" s="43" customFormat="1" x14ac:dyDescent="0.2">
      <c r="A211" t="s">
        <v>165</v>
      </c>
      <c r="B211" t="s">
        <v>136</v>
      </c>
      <c r="C211" s="14">
        <v>2</v>
      </c>
      <c r="D211" s="14">
        <v>1999</v>
      </c>
      <c r="E211" s="14">
        <v>1999</v>
      </c>
      <c r="F211" s="99">
        <f t="shared" si="10"/>
        <v>2</v>
      </c>
      <c r="G211" s="14">
        <v>0</v>
      </c>
      <c r="H211" t="str">
        <f t="shared" si="9"/>
        <v/>
      </c>
      <c r="I211"/>
    </row>
    <row r="212" spans="1:9" s="43" customFormat="1" x14ac:dyDescent="0.2">
      <c r="A212" t="s">
        <v>165</v>
      </c>
      <c r="B212" t="s">
        <v>167</v>
      </c>
      <c r="C212" s="14">
        <v>3</v>
      </c>
      <c r="D212" s="14">
        <v>2009</v>
      </c>
      <c r="E212" s="14">
        <v>2009</v>
      </c>
      <c r="F212" s="99">
        <f t="shared" si="10"/>
        <v>2</v>
      </c>
      <c r="G212">
        <v>1</v>
      </c>
      <c r="H212" t="str">
        <f t="shared" si="9"/>
        <v>Zimbabwe</v>
      </c>
      <c r="I212"/>
    </row>
    <row r="213" spans="1:9" s="43" customFormat="1" x14ac:dyDescent="0.2">
      <c r="A213" s="97" t="s">
        <v>165</v>
      </c>
      <c r="B213" s="97" t="s">
        <v>167</v>
      </c>
      <c r="C213" s="98">
        <v>5</v>
      </c>
      <c r="D213" s="98">
        <v>2014</v>
      </c>
      <c r="E213" s="98">
        <v>2014</v>
      </c>
      <c r="F213" s="99">
        <f t="shared" si="10"/>
        <v>2</v>
      </c>
      <c r="G213" s="98">
        <v>0</v>
      </c>
      <c r="H213" s="97" t="str">
        <f t="shared" si="9"/>
        <v/>
      </c>
      <c r="I213" s="97"/>
    </row>
    <row r="214" spans="1:9" x14ac:dyDescent="0.2">
      <c r="A214" s="97"/>
      <c r="B214" s="97"/>
      <c r="C214" s="97"/>
      <c r="D214" s="97"/>
      <c r="E214" s="106"/>
      <c r="F214" s="97">
        <f>COUNT(F8:F213)</f>
        <v>206</v>
      </c>
      <c r="G214" s="97">
        <f>SUM(G8:H213)</f>
        <v>95</v>
      </c>
      <c r="H214" s="97"/>
      <c r="I214" s="97"/>
    </row>
  </sheetData>
  <autoFilter ref="A7:I214">
    <sortState ref="A8:I214">
      <sortCondition ref="B7:B214"/>
    </sortState>
  </autoFilter>
  <sortState ref="A8:I168">
    <sortCondition ref="B8:B168"/>
    <sortCondition ref="E8:E168"/>
  </sortState>
  <hyperlinks>
    <hyperlink ref="B2" r:id="rId1"/>
  </hyperlinks>
  <pageMargins left="0.75" right="0.75" top="1" bottom="1" header="0.5" footer="0.5"/>
  <pageSetup paperSize="9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31" workbookViewId="0">
      <selection activeCell="D52" sqref="D52"/>
    </sheetView>
  </sheetViews>
  <sheetFormatPr baseColWidth="10" defaultColWidth="11" defaultRowHeight="16" x14ac:dyDescent="0.2"/>
  <cols>
    <col min="1" max="1" width="18.5" customWidth="1"/>
    <col min="2" max="2" width="16" customWidth="1"/>
    <col min="3" max="3" width="11" style="47"/>
    <col min="4" max="4" width="69.33203125" customWidth="1"/>
    <col min="5" max="7" width="11" style="46"/>
  </cols>
  <sheetData>
    <row r="1" spans="1:7" ht="24" x14ac:dyDescent="0.3">
      <c r="A1" s="4" t="s">
        <v>302</v>
      </c>
      <c r="B1" s="4"/>
      <c r="C1" s="45"/>
    </row>
    <row r="2" spans="1:7" x14ac:dyDescent="0.2">
      <c r="A2" s="3" t="s">
        <v>138</v>
      </c>
      <c r="B2" s="27" t="s">
        <v>303</v>
      </c>
      <c r="C2" s="45"/>
    </row>
    <row r="3" spans="1:7" x14ac:dyDescent="0.2">
      <c r="A3" s="5" t="s">
        <v>139</v>
      </c>
      <c r="B3" s="6" t="s">
        <v>141</v>
      </c>
    </row>
    <row r="4" spans="1:7" x14ac:dyDescent="0.2">
      <c r="A4" s="7"/>
      <c r="B4" s="8" t="s">
        <v>144</v>
      </c>
    </row>
    <row r="5" spans="1:7" x14ac:dyDescent="0.2">
      <c r="A5" s="9"/>
      <c r="B5" s="19" t="s">
        <v>140</v>
      </c>
    </row>
    <row r="6" spans="1:7" x14ac:dyDescent="0.2">
      <c r="A6" s="25" t="s">
        <v>242</v>
      </c>
      <c r="B6" t="s">
        <v>307</v>
      </c>
    </row>
    <row r="7" spans="1:7" s="1" customFormat="1" ht="32" x14ac:dyDescent="0.2">
      <c r="A7" s="48" t="s">
        <v>3</v>
      </c>
      <c r="B7" s="48" t="s">
        <v>0</v>
      </c>
      <c r="C7" s="49" t="s">
        <v>1</v>
      </c>
      <c r="D7" s="48" t="s">
        <v>241</v>
      </c>
      <c r="E7" s="49" t="s">
        <v>182</v>
      </c>
      <c r="F7" s="49" t="s">
        <v>147</v>
      </c>
      <c r="G7" s="50" t="s">
        <v>148</v>
      </c>
    </row>
    <row r="8" spans="1:7" s="1" customFormat="1" ht="15.75" customHeight="1" x14ac:dyDescent="0.2">
      <c r="A8" s="51" t="s">
        <v>308</v>
      </c>
      <c r="B8" s="57" t="s">
        <v>114</v>
      </c>
      <c r="C8" s="61">
        <v>1992</v>
      </c>
      <c r="D8" s="57" t="s">
        <v>431</v>
      </c>
      <c r="E8" s="55">
        <v>1</v>
      </c>
      <c r="F8" s="62">
        <v>1</v>
      </c>
      <c r="G8" s="62"/>
    </row>
    <row r="9" spans="1:7" s="1" customFormat="1" ht="15.75" customHeight="1" x14ac:dyDescent="0.2">
      <c r="A9" s="51" t="s">
        <v>308</v>
      </c>
      <c r="B9" s="57" t="s">
        <v>111</v>
      </c>
      <c r="C9" s="61">
        <v>1997</v>
      </c>
      <c r="D9" s="57" t="s">
        <v>304</v>
      </c>
      <c r="E9" s="55">
        <v>1</v>
      </c>
      <c r="F9" s="62">
        <v>1</v>
      </c>
      <c r="G9" s="62"/>
    </row>
    <row r="10" spans="1:7" s="1" customFormat="1" ht="15.75" customHeight="1" x14ac:dyDescent="0.2">
      <c r="A10" s="51" t="s">
        <v>308</v>
      </c>
      <c r="B10" s="57" t="s">
        <v>114</v>
      </c>
      <c r="C10" s="61">
        <v>1997</v>
      </c>
      <c r="D10" s="57" t="s">
        <v>432</v>
      </c>
      <c r="E10" s="55">
        <v>1</v>
      </c>
      <c r="F10" s="62"/>
      <c r="G10" s="62"/>
    </row>
    <row r="11" spans="1:7" s="1" customFormat="1" ht="15.75" customHeight="1" x14ac:dyDescent="0.2">
      <c r="A11" s="51" t="s">
        <v>308</v>
      </c>
      <c r="B11" s="57" t="s">
        <v>125</v>
      </c>
      <c r="C11" s="61">
        <v>2001</v>
      </c>
      <c r="D11" s="57" t="s">
        <v>304</v>
      </c>
      <c r="E11" s="55">
        <v>1</v>
      </c>
      <c r="F11" s="62">
        <v>1</v>
      </c>
      <c r="G11" s="62"/>
    </row>
    <row r="12" spans="1:7" ht="15.75" customHeight="1" x14ac:dyDescent="0.2">
      <c r="A12" s="51" t="s">
        <v>308</v>
      </c>
      <c r="B12" s="57" t="s">
        <v>112</v>
      </c>
      <c r="C12" s="61">
        <v>2002</v>
      </c>
      <c r="D12" s="57" t="s">
        <v>304</v>
      </c>
      <c r="E12" s="55">
        <v>1</v>
      </c>
      <c r="F12" s="62">
        <v>1</v>
      </c>
      <c r="G12" s="62"/>
    </row>
    <row r="13" spans="1:7" ht="15.75" customHeight="1" x14ac:dyDescent="0.2">
      <c r="A13" s="51" t="s">
        <v>308</v>
      </c>
      <c r="B13" s="57" t="s">
        <v>115</v>
      </c>
      <c r="C13" s="61">
        <v>2002</v>
      </c>
      <c r="D13" s="57" t="s">
        <v>304</v>
      </c>
      <c r="E13" s="55">
        <v>1</v>
      </c>
      <c r="F13" s="62">
        <v>1</v>
      </c>
      <c r="G13" s="62"/>
    </row>
    <row r="14" spans="1:7" s="1" customFormat="1" ht="15.75" customHeight="1" x14ac:dyDescent="0.2">
      <c r="A14" s="51" t="s">
        <v>308</v>
      </c>
      <c r="B14" s="57" t="s">
        <v>118</v>
      </c>
      <c r="C14" s="61">
        <v>2002</v>
      </c>
      <c r="D14" s="57" t="s">
        <v>433</v>
      </c>
      <c r="E14" s="55">
        <v>1</v>
      </c>
      <c r="F14" s="62">
        <v>1</v>
      </c>
      <c r="G14" s="62"/>
    </row>
    <row r="15" spans="1:7" x14ac:dyDescent="0.2">
      <c r="A15" s="51" t="s">
        <v>308</v>
      </c>
      <c r="B15" s="52" t="s">
        <v>96</v>
      </c>
      <c r="C15" s="53">
        <v>2003</v>
      </c>
      <c r="D15" s="57" t="s">
        <v>304</v>
      </c>
      <c r="E15" s="55">
        <v>1</v>
      </c>
      <c r="F15" s="55">
        <v>1</v>
      </c>
      <c r="G15" s="56"/>
    </row>
    <row r="16" spans="1:7" x14ac:dyDescent="0.2">
      <c r="A16" s="51" t="s">
        <v>308</v>
      </c>
      <c r="B16" s="58" t="s">
        <v>98</v>
      </c>
      <c r="C16" s="53">
        <v>2003</v>
      </c>
      <c r="D16" s="52" t="s">
        <v>426</v>
      </c>
      <c r="E16" s="55">
        <v>1</v>
      </c>
      <c r="F16" s="55">
        <v>1</v>
      </c>
      <c r="G16" s="56"/>
    </row>
    <row r="17" spans="1:7" x14ac:dyDescent="0.2">
      <c r="A17" s="51" t="s">
        <v>308</v>
      </c>
      <c r="B17" s="57" t="s">
        <v>111</v>
      </c>
      <c r="C17" s="61">
        <v>2003</v>
      </c>
      <c r="D17" s="57" t="s">
        <v>304</v>
      </c>
      <c r="E17" s="55">
        <v>1</v>
      </c>
      <c r="F17" s="62"/>
      <c r="G17" s="62"/>
    </row>
    <row r="18" spans="1:7" x14ac:dyDescent="0.2">
      <c r="A18" s="51" t="s">
        <v>308</v>
      </c>
      <c r="B18" s="57" t="s">
        <v>133</v>
      </c>
      <c r="C18" s="61">
        <v>2003</v>
      </c>
      <c r="D18" s="57" t="s">
        <v>442</v>
      </c>
      <c r="E18" s="55">
        <v>1</v>
      </c>
      <c r="F18" s="62">
        <v>1</v>
      </c>
      <c r="G18" s="62"/>
    </row>
    <row r="19" spans="1:7" x14ac:dyDescent="0.2">
      <c r="A19" s="51" t="s">
        <v>308</v>
      </c>
      <c r="B19" s="57" t="s">
        <v>120</v>
      </c>
      <c r="C19" s="61">
        <v>2004</v>
      </c>
      <c r="D19" s="57" t="s">
        <v>440</v>
      </c>
      <c r="E19" s="55">
        <v>1</v>
      </c>
      <c r="F19" s="62">
        <v>1</v>
      </c>
      <c r="G19" s="62"/>
    </row>
    <row r="20" spans="1:7" x14ac:dyDescent="0.2">
      <c r="A20" s="69" t="s">
        <v>172</v>
      </c>
      <c r="B20" s="57" t="s">
        <v>69</v>
      </c>
      <c r="C20" s="61">
        <v>2004</v>
      </c>
      <c r="D20" s="57" t="s">
        <v>304</v>
      </c>
      <c r="E20" s="55">
        <v>1</v>
      </c>
      <c r="F20" s="62">
        <v>1</v>
      </c>
      <c r="G20" s="62"/>
    </row>
    <row r="21" spans="1:7" x14ac:dyDescent="0.2">
      <c r="A21" s="51" t="s">
        <v>308</v>
      </c>
      <c r="B21" s="58" t="s">
        <v>133</v>
      </c>
      <c r="C21" s="59">
        <v>2004</v>
      </c>
      <c r="D21" s="58" t="s">
        <v>443</v>
      </c>
      <c r="E21" s="55">
        <v>1</v>
      </c>
      <c r="F21" s="60"/>
      <c r="G21" s="60"/>
    </row>
    <row r="22" spans="1:7" x14ac:dyDescent="0.2">
      <c r="A22" s="51" t="s">
        <v>308</v>
      </c>
      <c r="B22" s="52" t="s">
        <v>94</v>
      </c>
      <c r="C22" s="53">
        <v>2005</v>
      </c>
      <c r="D22" s="54" t="s">
        <v>424</v>
      </c>
      <c r="E22" s="55">
        <v>1</v>
      </c>
      <c r="F22" s="55">
        <v>1</v>
      </c>
      <c r="G22" s="56"/>
    </row>
    <row r="23" spans="1:7" x14ac:dyDescent="0.2">
      <c r="A23" s="51" t="s">
        <v>308</v>
      </c>
      <c r="B23" s="58" t="s">
        <v>98</v>
      </c>
      <c r="C23" s="59">
        <v>2005</v>
      </c>
      <c r="D23" s="52" t="s">
        <v>426</v>
      </c>
      <c r="E23" s="60">
        <v>1</v>
      </c>
      <c r="F23" s="60"/>
      <c r="G23" s="60"/>
    </row>
    <row r="24" spans="1:7" x14ac:dyDescent="0.2">
      <c r="A24" s="51" t="s">
        <v>308</v>
      </c>
      <c r="B24" s="63" t="s">
        <v>452</v>
      </c>
      <c r="C24" s="61">
        <v>2005</v>
      </c>
      <c r="D24" s="57" t="s">
        <v>427</v>
      </c>
      <c r="E24" s="55">
        <v>1</v>
      </c>
      <c r="F24" s="62">
        <v>1</v>
      </c>
      <c r="G24" s="62"/>
    </row>
    <row r="25" spans="1:7" x14ac:dyDescent="0.2">
      <c r="A25" s="51" t="s">
        <v>308</v>
      </c>
      <c r="B25" s="63" t="s">
        <v>109</v>
      </c>
      <c r="C25" s="61">
        <v>2005</v>
      </c>
      <c r="D25" s="63" t="s">
        <v>428</v>
      </c>
      <c r="E25" s="55">
        <v>1</v>
      </c>
      <c r="F25" s="62">
        <v>1</v>
      </c>
      <c r="G25" s="62"/>
    </row>
    <row r="26" spans="1:7" x14ac:dyDescent="0.2">
      <c r="A26" s="51" t="s">
        <v>308</v>
      </c>
      <c r="B26" s="57" t="s">
        <v>429</v>
      </c>
      <c r="C26" s="61">
        <v>2005</v>
      </c>
      <c r="D26" s="57" t="s">
        <v>304</v>
      </c>
      <c r="E26" s="55">
        <v>1</v>
      </c>
      <c r="F26" s="62">
        <v>1</v>
      </c>
      <c r="G26" s="62"/>
    </row>
    <row r="27" spans="1:7" x14ac:dyDescent="0.2">
      <c r="A27" s="51" t="s">
        <v>308</v>
      </c>
      <c r="B27" s="57" t="s">
        <v>118</v>
      </c>
      <c r="C27" s="61">
        <v>2005</v>
      </c>
      <c r="D27" s="57" t="s">
        <v>431</v>
      </c>
      <c r="E27" s="55">
        <v>1</v>
      </c>
      <c r="F27" s="62"/>
      <c r="G27" s="62"/>
    </row>
    <row r="28" spans="1:7" x14ac:dyDescent="0.2">
      <c r="A28" s="51" t="s">
        <v>308</v>
      </c>
      <c r="B28" s="58" t="s">
        <v>133</v>
      </c>
      <c r="C28" s="59">
        <v>2005</v>
      </c>
      <c r="D28" s="64" t="s">
        <v>444</v>
      </c>
      <c r="E28" s="55">
        <v>1</v>
      </c>
      <c r="F28" s="60"/>
      <c r="G28" s="60"/>
    </row>
    <row r="29" spans="1:7" x14ac:dyDescent="0.2">
      <c r="A29" s="51" t="s">
        <v>308</v>
      </c>
      <c r="B29" s="57" t="s">
        <v>99</v>
      </c>
      <c r="C29" s="61">
        <v>2006</v>
      </c>
      <c r="D29" s="57" t="s">
        <v>304</v>
      </c>
      <c r="E29" s="55">
        <v>1</v>
      </c>
      <c r="F29" s="62">
        <v>1</v>
      </c>
      <c r="G29" s="62"/>
    </row>
    <row r="30" spans="1:7" x14ac:dyDescent="0.2">
      <c r="A30" s="57"/>
      <c r="B30" s="63" t="s">
        <v>101</v>
      </c>
      <c r="C30" s="61">
        <v>2006</v>
      </c>
      <c r="D30" s="57" t="s">
        <v>304</v>
      </c>
      <c r="E30" s="55">
        <v>1</v>
      </c>
      <c r="F30" s="62">
        <v>1</v>
      </c>
      <c r="G30" s="62"/>
    </row>
    <row r="31" spans="1:7" x14ac:dyDescent="0.2">
      <c r="A31" s="51" t="s">
        <v>308</v>
      </c>
      <c r="B31" s="57" t="s">
        <v>118</v>
      </c>
      <c r="C31" s="61">
        <v>2006</v>
      </c>
      <c r="D31" s="57" t="s">
        <v>434</v>
      </c>
      <c r="E31" s="55">
        <v>1</v>
      </c>
      <c r="F31" s="62"/>
      <c r="G31" s="62"/>
    </row>
    <row r="32" spans="1:7" x14ac:dyDescent="0.2">
      <c r="A32" s="51" t="s">
        <v>308</v>
      </c>
      <c r="B32" s="57" t="s">
        <v>124</v>
      </c>
      <c r="C32" s="61">
        <v>2006</v>
      </c>
      <c r="D32" s="57" t="s">
        <v>304</v>
      </c>
      <c r="E32" s="55">
        <v>1</v>
      </c>
      <c r="F32" s="62">
        <v>1</v>
      </c>
      <c r="G32" s="62"/>
    </row>
    <row r="33" spans="1:7" x14ac:dyDescent="0.2">
      <c r="A33" s="63" t="s">
        <v>174</v>
      </c>
      <c r="B33" s="58" t="s">
        <v>134</v>
      </c>
      <c r="C33" s="59">
        <v>2006</v>
      </c>
      <c r="D33" s="57" t="s">
        <v>304</v>
      </c>
      <c r="E33" s="55">
        <v>1</v>
      </c>
      <c r="F33" s="60">
        <v>1</v>
      </c>
      <c r="G33" s="60"/>
    </row>
    <row r="34" spans="1:7" x14ac:dyDescent="0.2">
      <c r="A34" s="51" t="s">
        <v>308</v>
      </c>
      <c r="B34" s="58" t="s">
        <v>98</v>
      </c>
      <c r="C34" s="59">
        <v>2007</v>
      </c>
      <c r="D34" s="52" t="s">
        <v>426</v>
      </c>
      <c r="E34" s="60">
        <v>1</v>
      </c>
      <c r="F34" s="60"/>
      <c r="G34" s="60"/>
    </row>
    <row r="35" spans="1:7" x14ac:dyDescent="0.2">
      <c r="A35" s="57"/>
      <c r="B35" s="63" t="s">
        <v>101</v>
      </c>
      <c r="C35" s="61">
        <v>2007</v>
      </c>
      <c r="D35" s="57" t="s">
        <v>304</v>
      </c>
      <c r="E35" s="55">
        <v>1</v>
      </c>
      <c r="F35" s="62"/>
      <c r="G35" s="62"/>
    </row>
    <row r="36" spans="1:7" x14ac:dyDescent="0.2">
      <c r="A36" s="51" t="s">
        <v>308</v>
      </c>
      <c r="B36" s="57" t="s">
        <v>112</v>
      </c>
      <c r="C36" s="61">
        <v>2007</v>
      </c>
      <c r="D36" s="63" t="s">
        <v>430</v>
      </c>
      <c r="E36" s="55">
        <v>1</v>
      </c>
      <c r="F36" s="62"/>
      <c r="G36" s="62"/>
    </row>
    <row r="37" spans="1:7" x14ac:dyDescent="0.2">
      <c r="A37" s="51" t="s">
        <v>308</v>
      </c>
      <c r="B37" s="58" t="s">
        <v>116</v>
      </c>
      <c r="C37" s="59">
        <v>2007</v>
      </c>
      <c r="D37" s="58" t="s">
        <v>304</v>
      </c>
      <c r="E37" s="55">
        <v>1</v>
      </c>
      <c r="F37" s="60">
        <v>1</v>
      </c>
      <c r="G37" s="60"/>
    </row>
    <row r="38" spans="1:7" x14ac:dyDescent="0.2">
      <c r="A38" s="51" t="s">
        <v>308</v>
      </c>
      <c r="B38" s="57" t="s">
        <v>118</v>
      </c>
      <c r="C38" s="61">
        <v>2007</v>
      </c>
      <c r="D38" s="57" t="s">
        <v>435</v>
      </c>
      <c r="E38" s="55">
        <v>1</v>
      </c>
      <c r="F38" s="62"/>
      <c r="G38" s="62"/>
    </row>
    <row r="39" spans="1:7" x14ac:dyDescent="0.2">
      <c r="A39" s="51" t="s">
        <v>308</v>
      </c>
      <c r="B39" s="57" t="s">
        <v>129</v>
      </c>
      <c r="C39" s="61">
        <v>2007</v>
      </c>
      <c r="D39" s="57" t="s">
        <v>304</v>
      </c>
      <c r="E39" s="55">
        <v>1</v>
      </c>
      <c r="F39" s="62">
        <v>1</v>
      </c>
      <c r="G39" s="62"/>
    </row>
    <row r="40" spans="1:7" x14ac:dyDescent="0.2">
      <c r="A40" s="51" t="s">
        <v>308</v>
      </c>
      <c r="B40" s="57" t="s">
        <v>118</v>
      </c>
      <c r="C40" s="61">
        <v>2008</v>
      </c>
      <c r="D40" s="57" t="s">
        <v>436</v>
      </c>
      <c r="E40" s="55">
        <v>1</v>
      </c>
      <c r="F40" s="62"/>
      <c r="G40" s="62"/>
    </row>
    <row r="41" spans="1:7" x14ac:dyDescent="0.2">
      <c r="A41" s="51" t="s">
        <v>308</v>
      </c>
      <c r="B41" s="57" t="s">
        <v>118</v>
      </c>
      <c r="C41" s="61">
        <v>2009</v>
      </c>
      <c r="D41" s="57" t="s">
        <v>437</v>
      </c>
      <c r="E41" s="55">
        <v>1</v>
      </c>
      <c r="F41" s="62"/>
      <c r="G41" s="62"/>
    </row>
    <row r="42" spans="1:7" x14ac:dyDescent="0.2">
      <c r="A42" s="51" t="s">
        <v>308</v>
      </c>
      <c r="B42" s="57" t="s">
        <v>116</v>
      </c>
      <c r="C42" s="61">
        <v>2010</v>
      </c>
      <c r="D42" s="57" t="s">
        <v>304</v>
      </c>
      <c r="E42" s="55">
        <v>1</v>
      </c>
      <c r="F42" s="62"/>
      <c r="G42" s="62"/>
    </row>
    <row r="43" spans="1:7" x14ac:dyDescent="0.2">
      <c r="A43" s="63" t="s">
        <v>174</v>
      </c>
      <c r="B43" s="63" t="s">
        <v>134</v>
      </c>
      <c r="C43" s="65">
        <v>2011</v>
      </c>
      <c r="D43" s="57" t="s">
        <v>304</v>
      </c>
      <c r="E43" s="55">
        <v>1</v>
      </c>
      <c r="F43" s="62"/>
      <c r="G43" s="62"/>
    </row>
    <row r="44" spans="1:7" x14ac:dyDescent="0.2">
      <c r="A44" s="51" t="s">
        <v>308</v>
      </c>
      <c r="B44" s="57" t="s">
        <v>121</v>
      </c>
      <c r="C44" s="61" t="s">
        <v>441</v>
      </c>
      <c r="D44" s="57" t="s">
        <v>304</v>
      </c>
      <c r="E44" s="55">
        <v>1</v>
      </c>
      <c r="F44" s="62">
        <v>1</v>
      </c>
      <c r="G44" s="62"/>
    </row>
    <row r="45" spans="1:7" x14ac:dyDescent="0.2">
      <c r="A45" s="51" t="s">
        <v>308</v>
      </c>
      <c r="B45" s="57" t="s">
        <v>119</v>
      </c>
      <c r="C45" s="61" t="s">
        <v>399</v>
      </c>
      <c r="D45" s="57" t="s">
        <v>439</v>
      </c>
      <c r="E45" s="55">
        <v>1</v>
      </c>
      <c r="F45" s="62">
        <v>1</v>
      </c>
      <c r="G45" s="62"/>
    </row>
    <row r="46" spans="1:7" x14ac:dyDescent="0.2">
      <c r="A46" s="51" t="s">
        <v>308</v>
      </c>
      <c r="B46" s="58" t="s">
        <v>133</v>
      </c>
      <c r="C46" s="59" t="s">
        <v>399</v>
      </c>
      <c r="D46" s="58" t="s">
        <v>445</v>
      </c>
      <c r="E46" s="55">
        <v>1</v>
      </c>
      <c r="F46" s="60"/>
      <c r="G46" s="60"/>
    </row>
    <row r="47" spans="1:7" x14ac:dyDescent="0.2">
      <c r="A47" s="51" t="s">
        <v>308</v>
      </c>
      <c r="B47" s="52" t="s">
        <v>97</v>
      </c>
      <c r="C47" s="53" t="s">
        <v>421</v>
      </c>
      <c r="D47" s="57" t="s">
        <v>425</v>
      </c>
      <c r="E47" s="55">
        <v>1</v>
      </c>
      <c r="F47" s="55">
        <v>1</v>
      </c>
      <c r="G47" s="56"/>
    </row>
    <row r="48" spans="1:7" x14ac:dyDescent="0.2">
      <c r="A48" s="51" t="s">
        <v>308</v>
      </c>
      <c r="B48" s="52" t="s">
        <v>98</v>
      </c>
      <c r="C48" s="53" t="s">
        <v>421</v>
      </c>
      <c r="D48" s="52" t="s">
        <v>426</v>
      </c>
      <c r="E48" s="55">
        <v>1</v>
      </c>
      <c r="F48" s="55"/>
      <c r="G48" s="56"/>
    </row>
    <row r="49" spans="1:7" x14ac:dyDescent="0.2">
      <c r="A49" s="51" t="s">
        <v>308</v>
      </c>
      <c r="B49" s="57" t="s">
        <v>118</v>
      </c>
      <c r="C49" s="61" t="s">
        <v>422</v>
      </c>
      <c r="D49" s="57" t="s">
        <v>438</v>
      </c>
      <c r="E49" s="55">
        <v>1</v>
      </c>
      <c r="F49" s="62"/>
      <c r="G49" s="62"/>
    </row>
    <row r="50" spans="1:7" x14ac:dyDescent="0.2">
      <c r="A50" s="63"/>
      <c r="B50" s="63"/>
      <c r="C50" s="66"/>
      <c r="D50" s="63"/>
      <c r="E50" s="40">
        <f>SUM(E8:E49)</f>
        <v>42</v>
      </c>
      <c r="F50" s="40">
        <f>SUM(F8:F49)</f>
        <v>24</v>
      </c>
      <c r="G50" s="62"/>
    </row>
    <row r="51" spans="1:7" x14ac:dyDescent="0.2">
      <c r="A51" s="63"/>
      <c r="B51" s="63"/>
      <c r="C51" s="66"/>
      <c r="D51" s="63"/>
      <c r="E51" s="62"/>
      <c r="F51" s="62"/>
      <c r="G51" s="62"/>
    </row>
    <row r="52" spans="1:7" x14ac:dyDescent="0.2">
      <c r="A52" s="63"/>
      <c r="B52" s="63"/>
      <c r="C52" s="66"/>
      <c r="D52" s="63"/>
      <c r="E52" s="62"/>
      <c r="F52" s="62"/>
      <c r="G52" s="62"/>
    </row>
    <row r="53" spans="1:7" x14ac:dyDescent="0.2">
      <c r="A53" s="63"/>
      <c r="B53" s="63"/>
      <c r="C53" s="66"/>
      <c r="D53" s="63"/>
      <c r="E53" s="62"/>
      <c r="F53" s="62"/>
      <c r="G53" s="62"/>
    </row>
    <row r="54" spans="1:7" x14ac:dyDescent="0.2">
      <c r="A54" s="63"/>
      <c r="B54" s="63"/>
      <c r="C54" s="66"/>
      <c r="D54" s="63"/>
      <c r="E54" s="62"/>
      <c r="F54" s="62"/>
      <c r="G54" s="62"/>
    </row>
    <row r="55" spans="1:7" x14ac:dyDescent="0.2">
      <c r="A55" s="63"/>
      <c r="B55" s="63"/>
      <c r="C55" s="66"/>
      <c r="D55" s="63"/>
      <c r="E55" s="62"/>
      <c r="F55" s="62"/>
      <c r="G55" s="62"/>
    </row>
    <row r="56" spans="1:7" x14ac:dyDescent="0.2">
      <c r="A56" s="63"/>
      <c r="B56" s="63"/>
      <c r="C56" s="66"/>
      <c r="D56" s="63"/>
      <c r="E56" s="62"/>
      <c r="F56" s="62"/>
      <c r="G56" s="62"/>
    </row>
    <row r="57" spans="1:7" x14ac:dyDescent="0.2">
      <c r="A57" s="63"/>
      <c r="B57" s="63"/>
      <c r="C57" s="66"/>
      <c r="D57" s="63"/>
      <c r="E57" s="62"/>
      <c r="F57" s="62"/>
      <c r="G57" s="62"/>
    </row>
    <row r="58" spans="1:7" x14ac:dyDescent="0.2">
      <c r="A58" s="63"/>
      <c r="B58" s="63"/>
      <c r="C58" s="66"/>
      <c r="D58" s="63"/>
      <c r="E58" s="62"/>
      <c r="F58" s="62"/>
      <c r="G58" s="62"/>
    </row>
    <row r="59" spans="1:7" x14ac:dyDescent="0.2">
      <c r="A59" s="63"/>
      <c r="B59" s="63"/>
      <c r="C59" s="66"/>
      <c r="D59" s="63"/>
      <c r="E59" s="62"/>
      <c r="F59" s="62"/>
      <c r="G59" s="62"/>
    </row>
    <row r="60" spans="1:7" x14ac:dyDescent="0.2">
      <c r="A60" s="63"/>
      <c r="B60" s="63"/>
      <c r="C60" s="66"/>
      <c r="D60" s="63"/>
      <c r="E60" s="62"/>
      <c r="F60" s="62"/>
      <c r="G60" s="62"/>
    </row>
    <row r="61" spans="1:7" x14ac:dyDescent="0.2">
      <c r="A61" s="63"/>
      <c r="B61" s="63"/>
      <c r="C61" s="66"/>
      <c r="D61" s="63"/>
      <c r="E61" s="62"/>
      <c r="F61" s="62"/>
      <c r="G61" s="62"/>
    </row>
    <row r="62" spans="1:7" x14ac:dyDescent="0.2">
      <c r="A62" s="63"/>
      <c r="B62" s="63"/>
      <c r="C62" s="66"/>
      <c r="D62" s="63"/>
      <c r="E62" s="62"/>
      <c r="F62" s="62"/>
      <c r="G62" s="62"/>
    </row>
    <row r="63" spans="1:7" x14ac:dyDescent="0.2">
      <c r="A63" s="63"/>
      <c r="B63" s="63"/>
      <c r="C63" s="66"/>
      <c r="D63" s="63"/>
      <c r="E63" s="62"/>
      <c r="F63" s="62"/>
      <c r="G63" s="62"/>
    </row>
    <row r="64" spans="1:7" x14ac:dyDescent="0.2">
      <c r="A64" s="63"/>
      <c r="B64" s="63"/>
      <c r="C64" s="66"/>
      <c r="D64" s="63"/>
      <c r="E64" s="62"/>
      <c r="F64" s="62"/>
      <c r="G64" s="62"/>
    </row>
    <row r="65" spans="1:7" x14ac:dyDescent="0.2">
      <c r="A65" s="63"/>
      <c r="B65" s="63"/>
      <c r="C65" s="66"/>
      <c r="D65" s="63"/>
      <c r="E65" s="62"/>
      <c r="F65" s="62"/>
      <c r="G65" s="62"/>
    </row>
    <row r="66" spans="1:7" x14ac:dyDescent="0.2">
      <c r="A66" s="63"/>
      <c r="B66" s="63"/>
      <c r="C66" s="66"/>
      <c r="D66" s="63"/>
      <c r="E66" s="62"/>
      <c r="F66" s="62"/>
      <c r="G66" s="62"/>
    </row>
    <row r="67" spans="1:7" x14ac:dyDescent="0.2">
      <c r="A67" s="63"/>
      <c r="B67" s="63"/>
      <c r="C67" s="66"/>
      <c r="D67" s="63"/>
      <c r="E67" s="62"/>
      <c r="F67" s="62"/>
      <c r="G67" s="62"/>
    </row>
    <row r="68" spans="1:7" x14ac:dyDescent="0.2">
      <c r="A68" s="63"/>
      <c r="B68" s="63"/>
      <c r="C68" s="66"/>
      <c r="D68" s="63"/>
      <c r="E68" s="62"/>
      <c r="F68" s="62"/>
      <c r="G68" s="62"/>
    </row>
    <row r="69" spans="1:7" x14ac:dyDescent="0.2">
      <c r="A69" s="63"/>
      <c r="B69" s="63"/>
      <c r="C69" s="66"/>
      <c r="D69" s="63"/>
      <c r="E69" s="62"/>
      <c r="F69" s="62"/>
      <c r="G69" s="62"/>
    </row>
    <row r="70" spans="1:7" x14ac:dyDescent="0.2">
      <c r="A70" s="63"/>
      <c r="B70" s="63"/>
      <c r="C70" s="66"/>
      <c r="D70" s="63"/>
      <c r="E70" s="62"/>
      <c r="F70" s="62"/>
      <c r="G70" s="62"/>
    </row>
    <row r="71" spans="1:7" x14ac:dyDescent="0.2">
      <c r="A71" s="63"/>
      <c r="B71" s="63"/>
      <c r="C71" s="66"/>
      <c r="D71" s="63"/>
      <c r="E71" s="62"/>
      <c r="F71" s="62"/>
      <c r="G71" s="62"/>
    </row>
    <row r="72" spans="1:7" x14ac:dyDescent="0.2">
      <c r="A72" s="63"/>
      <c r="B72" s="63"/>
      <c r="C72" s="66"/>
      <c r="D72" s="63"/>
      <c r="E72" s="62"/>
      <c r="F72" s="62"/>
      <c r="G72" s="62"/>
    </row>
  </sheetData>
  <autoFilter ref="A7:G7">
    <sortState ref="A8:G50">
      <sortCondition ref="C7"/>
    </sortState>
  </autoFilter>
  <hyperlinks>
    <hyperlink ref="B2" r:id="rId1"/>
  </hyperlinks>
  <pageMargins left="0.75" right="0.75" top="1" bottom="1" header="0.5" footer="0.5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46" workbookViewId="0">
      <selection activeCell="I59" sqref="I59"/>
    </sheetView>
  </sheetViews>
  <sheetFormatPr baseColWidth="10" defaultColWidth="8.83203125" defaultRowHeight="16" x14ac:dyDescent="0.2"/>
  <cols>
    <col min="1" max="1" width="12.6640625" customWidth="1"/>
    <col min="2" max="2" width="20.6640625" customWidth="1"/>
    <col min="3" max="3" width="6.6640625" customWidth="1"/>
    <col min="4" max="4" width="5.1640625" customWidth="1"/>
    <col min="6" max="6" width="8.1640625" customWidth="1"/>
  </cols>
  <sheetData>
    <row r="1" spans="1:9" ht="24" x14ac:dyDescent="0.3">
      <c r="A1" s="36" t="s">
        <v>367</v>
      </c>
      <c r="B1" s="4"/>
      <c r="C1" s="3"/>
    </row>
    <row r="2" spans="1:9" x14ac:dyDescent="0.2">
      <c r="A2" s="3" t="s">
        <v>138</v>
      </c>
      <c r="B2" s="27" t="s">
        <v>345</v>
      </c>
      <c r="C2" s="3"/>
    </row>
    <row r="3" spans="1:9" x14ac:dyDescent="0.2">
      <c r="A3" s="5" t="s">
        <v>139</v>
      </c>
      <c r="B3" s="6" t="s">
        <v>141</v>
      </c>
    </row>
    <row r="4" spans="1:9" x14ac:dyDescent="0.2">
      <c r="A4" s="7"/>
      <c r="B4" s="8" t="s">
        <v>144</v>
      </c>
    </row>
    <row r="5" spans="1:9" x14ac:dyDescent="0.2">
      <c r="A5" s="9"/>
      <c r="B5" s="19" t="s">
        <v>140</v>
      </c>
    </row>
    <row r="6" spans="1:9" x14ac:dyDescent="0.2">
      <c r="A6" t="s">
        <v>178</v>
      </c>
      <c r="B6" t="s">
        <v>343</v>
      </c>
    </row>
    <row r="7" spans="1:9" ht="64" x14ac:dyDescent="0.2">
      <c r="A7" s="15" t="s">
        <v>3</v>
      </c>
      <c r="B7" s="15" t="s">
        <v>0</v>
      </c>
      <c r="C7" s="15" t="s">
        <v>323</v>
      </c>
      <c r="D7" s="38" t="s">
        <v>181</v>
      </c>
      <c r="E7" s="37" t="s">
        <v>180</v>
      </c>
      <c r="F7" s="15" t="s">
        <v>182</v>
      </c>
      <c r="G7" s="15" t="s">
        <v>147</v>
      </c>
      <c r="H7" s="24" t="s">
        <v>245</v>
      </c>
      <c r="I7" s="15" t="s">
        <v>188</v>
      </c>
    </row>
    <row r="8" spans="1:9" x14ac:dyDescent="0.2">
      <c r="A8" t="s">
        <v>158</v>
      </c>
      <c r="B8" t="s">
        <v>366</v>
      </c>
      <c r="C8" t="s">
        <v>368</v>
      </c>
      <c r="D8" s="39">
        <v>2003</v>
      </c>
      <c r="E8">
        <v>2003</v>
      </c>
      <c r="F8">
        <f>COUNTIF(B$8:B$77,B8)</f>
        <v>1</v>
      </c>
      <c r="G8">
        <v>1</v>
      </c>
    </row>
    <row r="9" spans="1:9" x14ac:dyDescent="0.2">
      <c r="A9" t="s">
        <v>154</v>
      </c>
      <c r="B9" t="s">
        <v>348</v>
      </c>
      <c r="C9" t="s">
        <v>368</v>
      </c>
      <c r="D9" s="39">
        <v>2003</v>
      </c>
      <c r="E9">
        <v>2003</v>
      </c>
      <c r="F9">
        <f>COUNTIF(B$8:B$77,B9)</f>
        <v>1</v>
      </c>
      <c r="G9">
        <v>1</v>
      </c>
    </row>
    <row r="10" spans="1:9" x14ac:dyDescent="0.2">
      <c r="A10" t="s">
        <v>87</v>
      </c>
      <c r="B10" t="s">
        <v>86</v>
      </c>
      <c r="C10" t="s">
        <v>368</v>
      </c>
      <c r="D10" s="39">
        <v>2003</v>
      </c>
      <c r="E10">
        <v>2003</v>
      </c>
      <c r="F10">
        <f t="shared" ref="F10:F72" si="0">COUNTIF(B$8:B$77,B10)</f>
        <v>1</v>
      </c>
      <c r="G10">
        <v>0</v>
      </c>
    </row>
    <row r="11" spans="1:9" x14ac:dyDescent="0.2">
      <c r="A11" t="s">
        <v>154</v>
      </c>
      <c r="B11" t="s">
        <v>349</v>
      </c>
      <c r="C11" t="s">
        <v>368</v>
      </c>
      <c r="D11" s="39">
        <v>2003</v>
      </c>
      <c r="E11">
        <v>2003</v>
      </c>
      <c r="F11">
        <f t="shared" si="0"/>
        <v>1</v>
      </c>
      <c r="G11">
        <v>1</v>
      </c>
    </row>
    <row r="12" spans="1:9" x14ac:dyDescent="0.2">
      <c r="A12" t="s">
        <v>154</v>
      </c>
      <c r="B12" t="s">
        <v>24</v>
      </c>
      <c r="C12" t="s">
        <v>368</v>
      </c>
      <c r="D12" s="39">
        <v>2003</v>
      </c>
      <c r="E12">
        <v>2003</v>
      </c>
      <c r="F12">
        <f t="shared" si="0"/>
        <v>1</v>
      </c>
      <c r="G12">
        <v>0</v>
      </c>
    </row>
    <row r="13" spans="1:9" x14ac:dyDescent="0.2">
      <c r="A13" t="s">
        <v>172</v>
      </c>
      <c r="B13" t="s">
        <v>52</v>
      </c>
      <c r="C13" t="s">
        <v>368</v>
      </c>
      <c r="D13" s="39">
        <v>2003</v>
      </c>
      <c r="E13">
        <v>2003</v>
      </c>
      <c r="F13">
        <f t="shared" si="0"/>
        <v>1</v>
      </c>
      <c r="G13">
        <v>0</v>
      </c>
    </row>
    <row r="14" spans="1:9" x14ac:dyDescent="0.2">
      <c r="A14" t="s">
        <v>174</v>
      </c>
      <c r="B14" t="s">
        <v>98</v>
      </c>
      <c r="C14" t="s">
        <v>368</v>
      </c>
      <c r="D14" s="39">
        <v>2003</v>
      </c>
      <c r="E14">
        <v>2003</v>
      </c>
      <c r="F14">
        <f t="shared" si="0"/>
        <v>1</v>
      </c>
      <c r="G14">
        <v>0</v>
      </c>
    </row>
    <row r="15" spans="1:9" x14ac:dyDescent="0.2">
      <c r="A15" t="s">
        <v>174</v>
      </c>
      <c r="B15" t="s">
        <v>103</v>
      </c>
      <c r="C15" t="s">
        <v>368</v>
      </c>
      <c r="D15" s="39">
        <v>2003</v>
      </c>
      <c r="E15">
        <v>2003</v>
      </c>
      <c r="F15">
        <f t="shared" si="0"/>
        <v>1</v>
      </c>
      <c r="G15">
        <v>0</v>
      </c>
    </row>
    <row r="16" spans="1:9" x14ac:dyDescent="0.2">
      <c r="A16" t="s">
        <v>158</v>
      </c>
      <c r="B16" t="s">
        <v>7</v>
      </c>
      <c r="C16" t="s">
        <v>368</v>
      </c>
      <c r="D16" s="39">
        <v>2002</v>
      </c>
      <c r="E16">
        <v>2003</v>
      </c>
      <c r="F16">
        <f t="shared" si="0"/>
        <v>1</v>
      </c>
      <c r="G16">
        <v>1</v>
      </c>
    </row>
    <row r="17" spans="1:7" x14ac:dyDescent="0.2">
      <c r="A17" t="s">
        <v>165</v>
      </c>
      <c r="B17" t="s">
        <v>104</v>
      </c>
      <c r="C17" t="s">
        <v>368</v>
      </c>
      <c r="D17" s="39">
        <v>2003</v>
      </c>
      <c r="E17">
        <v>2003</v>
      </c>
      <c r="F17">
        <f t="shared" si="0"/>
        <v>1</v>
      </c>
      <c r="G17">
        <v>0</v>
      </c>
    </row>
    <row r="18" spans="1:7" x14ac:dyDescent="0.2">
      <c r="A18" t="s">
        <v>174</v>
      </c>
      <c r="B18" t="s">
        <v>291</v>
      </c>
      <c r="C18" t="s">
        <v>368</v>
      </c>
      <c r="D18" s="39">
        <v>2003</v>
      </c>
      <c r="E18">
        <v>2003</v>
      </c>
      <c r="F18">
        <f t="shared" si="0"/>
        <v>1</v>
      </c>
      <c r="G18">
        <v>1</v>
      </c>
    </row>
    <row r="19" spans="1:7" x14ac:dyDescent="0.2">
      <c r="A19" t="s">
        <v>174</v>
      </c>
      <c r="B19" t="s">
        <v>175</v>
      </c>
      <c r="C19" t="s">
        <v>368</v>
      </c>
      <c r="D19" s="39">
        <v>2003</v>
      </c>
      <c r="E19">
        <v>2003</v>
      </c>
      <c r="F19">
        <f t="shared" si="0"/>
        <v>1</v>
      </c>
      <c r="G19">
        <v>0</v>
      </c>
    </row>
    <row r="20" spans="1:7" x14ac:dyDescent="0.2">
      <c r="A20" t="s">
        <v>154</v>
      </c>
      <c r="B20" t="s">
        <v>26</v>
      </c>
      <c r="C20" t="s">
        <v>368</v>
      </c>
      <c r="D20" s="39">
        <v>2003</v>
      </c>
      <c r="E20">
        <v>2003</v>
      </c>
      <c r="F20">
        <f t="shared" si="0"/>
        <v>1</v>
      </c>
      <c r="G20">
        <v>1</v>
      </c>
    </row>
    <row r="21" spans="1:7" x14ac:dyDescent="0.2">
      <c r="A21" t="s">
        <v>154</v>
      </c>
      <c r="B21" t="s">
        <v>27</v>
      </c>
      <c r="C21" t="s">
        <v>368</v>
      </c>
      <c r="D21" s="39">
        <v>2002</v>
      </c>
      <c r="E21">
        <v>2003</v>
      </c>
      <c r="F21">
        <f t="shared" si="0"/>
        <v>1</v>
      </c>
      <c r="G21">
        <v>1</v>
      </c>
    </row>
    <row r="22" spans="1:7" x14ac:dyDescent="0.2">
      <c r="A22" t="s">
        <v>154</v>
      </c>
      <c r="B22" t="s">
        <v>350</v>
      </c>
      <c r="C22" t="s">
        <v>368</v>
      </c>
      <c r="D22" s="39">
        <v>2003</v>
      </c>
      <c r="E22">
        <v>2003</v>
      </c>
      <c r="F22">
        <f t="shared" si="0"/>
        <v>1</v>
      </c>
      <c r="G22">
        <v>1</v>
      </c>
    </row>
    <row r="23" spans="1:7" x14ac:dyDescent="0.2">
      <c r="A23" t="s">
        <v>172</v>
      </c>
      <c r="B23" t="s">
        <v>56</v>
      </c>
      <c r="C23" t="s">
        <v>368</v>
      </c>
      <c r="D23" s="39">
        <v>2003</v>
      </c>
      <c r="E23">
        <v>2003</v>
      </c>
      <c r="F23">
        <f t="shared" si="0"/>
        <v>1</v>
      </c>
      <c r="G23">
        <v>0</v>
      </c>
    </row>
    <row r="24" spans="1:7" x14ac:dyDescent="0.2">
      <c r="A24" t="s">
        <v>172</v>
      </c>
      <c r="B24" t="s">
        <v>57</v>
      </c>
      <c r="C24" t="s">
        <v>368</v>
      </c>
      <c r="D24" s="39">
        <v>2003</v>
      </c>
      <c r="E24">
        <v>2003</v>
      </c>
      <c r="F24">
        <f t="shared" si="0"/>
        <v>1</v>
      </c>
      <c r="G24">
        <v>0</v>
      </c>
    </row>
    <row r="25" spans="1:7" x14ac:dyDescent="0.2">
      <c r="A25" t="s">
        <v>154</v>
      </c>
      <c r="B25" t="s">
        <v>28</v>
      </c>
      <c r="C25" t="s">
        <v>368</v>
      </c>
      <c r="D25" s="39">
        <v>2003</v>
      </c>
      <c r="E25">
        <v>2003</v>
      </c>
      <c r="F25">
        <f t="shared" si="0"/>
        <v>1</v>
      </c>
      <c r="G25">
        <v>1</v>
      </c>
    </row>
    <row r="26" spans="1:7" x14ac:dyDescent="0.2">
      <c r="A26" t="s">
        <v>174</v>
      </c>
      <c r="B26" t="s">
        <v>108</v>
      </c>
      <c r="C26" t="s">
        <v>368</v>
      </c>
      <c r="D26" s="39">
        <v>2003</v>
      </c>
      <c r="E26">
        <v>2003</v>
      </c>
      <c r="F26">
        <f t="shared" si="0"/>
        <v>1</v>
      </c>
      <c r="G26">
        <v>0</v>
      </c>
    </row>
    <row r="27" spans="1:7" x14ac:dyDescent="0.2">
      <c r="A27" t="s">
        <v>154</v>
      </c>
      <c r="B27" t="s">
        <v>351</v>
      </c>
      <c r="C27" t="s">
        <v>368</v>
      </c>
      <c r="D27" s="39">
        <v>2003</v>
      </c>
      <c r="E27">
        <v>2003</v>
      </c>
      <c r="F27">
        <f t="shared" si="0"/>
        <v>1</v>
      </c>
      <c r="G27">
        <v>1</v>
      </c>
    </row>
    <row r="28" spans="1:7" x14ac:dyDescent="0.2">
      <c r="A28" t="s">
        <v>154</v>
      </c>
      <c r="B28" t="s">
        <v>352</v>
      </c>
      <c r="C28" t="s">
        <v>368</v>
      </c>
      <c r="D28" s="39">
        <v>2003</v>
      </c>
      <c r="E28">
        <v>2003</v>
      </c>
      <c r="F28">
        <f t="shared" si="0"/>
        <v>1</v>
      </c>
      <c r="G28">
        <v>1</v>
      </c>
    </row>
    <row r="29" spans="1:7" x14ac:dyDescent="0.2">
      <c r="A29" t="s">
        <v>154</v>
      </c>
      <c r="B29" t="s">
        <v>29</v>
      </c>
      <c r="C29" t="s">
        <v>368</v>
      </c>
      <c r="D29" s="39">
        <v>2003</v>
      </c>
      <c r="E29">
        <v>2003</v>
      </c>
      <c r="F29">
        <f t="shared" si="0"/>
        <v>1</v>
      </c>
      <c r="G29">
        <v>0</v>
      </c>
    </row>
    <row r="30" spans="1:7" x14ac:dyDescent="0.2">
      <c r="A30" t="s">
        <v>154</v>
      </c>
      <c r="B30" t="s">
        <v>353</v>
      </c>
      <c r="C30" t="s">
        <v>368</v>
      </c>
      <c r="D30" s="39">
        <v>2003</v>
      </c>
      <c r="E30">
        <v>2003</v>
      </c>
      <c r="F30">
        <f t="shared" si="0"/>
        <v>1</v>
      </c>
      <c r="G30">
        <v>1</v>
      </c>
    </row>
    <row r="31" spans="1:7" x14ac:dyDescent="0.2">
      <c r="A31" t="s">
        <v>174</v>
      </c>
      <c r="B31" t="s">
        <v>111</v>
      </c>
      <c r="C31" t="s">
        <v>368</v>
      </c>
      <c r="D31" s="39">
        <v>2003</v>
      </c>
      <c r="E31">
        <v>2003</v>
      </c>
      <c r="F31">
        <f t="shared" si="0"/>
        <v>1</v>
      </c>
      <c r="G31">
        <v>0</v>
      </c>
    </row>
    <row r="32" spans="1:7" x14ac:dyDescent="0.2">
      <c r="A32" t="s">
        <v>154</v>
      </c>
      <c r="B32" t="s">
        <v>354</v>
      </c>
      <c r="C32" t="s">
        <v>368</v>
      </c>
      <c r="D32" s="39">
        <v>2003</v>
      </c>
      <c r="E32">
        <v>2003</v>
      </c>
      <c r="F32">
        <f t="shared" si="0"/>
        <v>1</v>
      </c>
      <c r="G32">
        <v>1</v>
      </c>
    </row>
    <row r="33" spans="1:7" x14ac:dyDescent="0.2">
      <c r="A33" t="s">
        <v>172</v>
      </c>
      <c r="B33" t="s">
        <v>59</v>
      </c>
      <c r="C33" t="s">
        <v>368</v>
      </c>
      <c r="D33" s="39">
        <v>2003</v>
      </c>
      <c r="E33">
        <v>2003</v>
      </c>
      <c r="F33">
        <f t="shared" si="0"/>
        <v>1</v>
      </c>
      <c r="G33">
        <v>0</v>
      </c>
    </row>
    <row r="34" spans="1:7" x14ac:dyDescent="0.2">
      <c r="A34" t="s">
        <v>154</v>
      </c>
      <c r="B34" t="s">
        <v>30</v>
      </c>
      <c r="C34" t="s">
        <v>368</v>
      </c>
      <c r="D34" s="39">
        <v>2003</v>
      </c>
      <c r="E34">
        <v>2003</v>
      </c>
      <c r="F34">
        <f t="shared" si="0"/>
        <v>1</v>
      </c>
      <c r="G34">
        <v>1</v>
      </c>
    </row>
    <row r="35" spans="1:7" x14ac:dyDescent="0.2">
      <c r="A35" t="s">
        <v>87</v>
      </c>
      <c r="B35" t="s">
        <v>89</v>
      </c>
      <c r="C35" t="s">
        <v>368</v>
      </c>
      <c r="D35" s="39">
        <v>2003</v>
      </c>
      <c r="E35">
        <v>2003</v>
      </c>
      <c r="F35">
        <f t="shared" si="0"/>
        <v>1</v>
      </c>
      <c r="G35">
        <v>0</v>
      </c>
    </row>
    <row r="36" spans="1:7" x14ac:dyDescent="0.2">
      <c r="A36" t="s">
        <v>154</v>
      </c>
      <c r="B36" t="s">
        <v>355</v>
      </c>
      <c r="C36" t="s">
        <v>368</v>
      </c>
      <c r="D36" s="39">
        <v>2003</v>
      </c>
      <c r="E36">
        <v>2003</v>
      </c>
      <c r="F36">
        <f t="shared" si="0"/>
        <v>1</v>
      </c>
      <c r="G36">
        <v>1</v>
      </c>
    </row>
    <row r="37" spans="1:7" x14ac:dyDescent="0.2">
      <c r="A37" t="s">
        <v>154</v>
      </c>
      <c r="B37" t="s">
        <v>356</v>
      </c>
      <c r="C37" t="s">
        <v>368</v>
      </c>
      <c r="D37" s="39">
        <v>2003</v>
      </c>
      <c r="E37">
        <v>2003</v>
      </c>
      <c r="F37">
        <f t="shared" si="0"/>
        <v>1</v>
      </c>
      <c r="G37">
        <v>1</v>
      </c>
    </row>
    <row r="38" spans="1:7" x14ac:dyDescent="0.2">
      <c r="A38" t="s">
        <v>154</v>
      </c>
      <c r="B38" t="s">
        <v>357</v>
      </c>
      <c r="C38" t="s">
        <v>368</v>
      </c>
      <c r="D38" s="39">
        <v>2003</v>
      </c>
      <c r="E38">
        <v>2003</v>
      </c>
      <c r="F38">
        <f t="shared" si="0"/>
        <v>1</v>
      </c>
      <c r="G38">
        <v>1</v>
      </c>
    </row>
    <row r="39" spans="1:7" x14ac:dyDescent="0.2">
      <c r="A39" t="s">
        <v>154</v>
      </c>
      <c r="B39" t="s">
        <v>31</v>
      </c>
      <c r="C39" t="s">
        <v>368</v>
      </c>
      <c r="D39" s="39">
        <v>2003</v>
      </c>
      <c r="E39">
        <v>2003</v>
      </c>
      <c r="F39">
        <f t="shared" si="0"/>
        <v>1</v>
      </c>
      <c r="G39">
        <v>0</v>
      </c>
    </row>
    <row r="40" spans="1:7" x14ac:dyDescent="0.2">
      <c r="A40" t="s">
        <v>165</v>
      </c>
      <c r="B40" t="s">
        <v>114</v>
      </c>
      <c r="C40" t="s">
        <v>368</v>
      </c>
      <c r="D40" s="39">
        <v>2003</v>
      </c>
      <c r="E40">
        <v>2003</v>
      </c>
      <c r="F40">
        <f t="shared" si="0"/>
        <v>1</v>
      </c>
      <c r="G40">
        <v>0</v>
      </c>
    </row>
    <row r="41" spans="1:7" x14ac:dyDescent="0.2">
      <c r="A41" t="s">
        <v>158</v>
      </c>
      <c r="B41" t="s">
        <v>160</v>
      </c>
      <c r="C41" t="s">
        <v>368</v>
      </c>
      <c r="D41" s="39">
        <v>2003</v>
      </c>
      <c r="E41">
        <v>2003</v>
      </c>
      <c r="F41">
        <f t="shared" si="0"/>
        <v>1</v>
      </c>
      <c r="G41">
        <v>0</v>
      </c>
    </row>
    <row r="42" spans="1:7" x14ac:dyDescent="0.2">
      <c r="A42" t="s">
        <v>154</v>
      </c>
      <c r="B42" t="s">
        <v>33</v>
      </c>
      <c r="C42" t="s">
        <v>368</v>
      </c>
      <c r="D42" s="39">
        <v>2003</v>
      </c>
      <c r="E42">
        <v>2003</v>
      </c>
      <c r="F42">
        <f t="shared" si="0"/>
        <v>1</v>
      </c>
      <c r="G42">
        <v>1</v>
      </c>
    </row>
    <row r="43" spans="1:7" x14ac:dyDescent="0.2">
      <c r="A43" t="s">
        <v>154</v>
      </c>
      <c r="B43" t="s">
        <v>358</v>
      </c>
      <c r="C43" t="s">
        <v>368</v>
      </c>
      <c r="D43" s="39">
        <v>2003</v>
      </c>
      <c r="E43">
        <v>2003</v>
      </c>
      <c r="F43">
        <f t="shared" si="0"/>
        <v>1</v>
      </c>
      <c r="G43">
        <v>1</v>
      </c>
    </row>
    <row r="44" spans="1:7" x14ac:dyDescent="0.2">
      <c r="A44" t="s">
        <v>165</v>
      </c>
      <c r="B44" t="s">
        <v>118</v>
      </c>
      <c r="C44" t="s">
        <v>368</v>
      </c>
      <c r="D44" s="39">
        <v>2003</v>
      </c>
      <c r="E44">
        <v>2003</v>
      </c>
      <c r="F44">
        <f t="shared" si="0"/>
        <v>1</v>
      </c>
      <c r="G44">
        <v>0</v>
      </c>
    </row>
    <row r="45" spans="1:7" x14ac:dyDescent="0.2">
      <c r="A45" t="s">
        <v>158</v>
      </c>
      <c r="B45" t="s">
        <v>12</v>
      </c>
      <c r="C45" t="s">
        <v>368</v>
      </c>
      <c r="D45" s="39">
        <v>2003</v>
      </c>
      <c r="E45">
        <v>2003</v>
      </c>
      <c r="F45">
        <f t="shared" si="0"/>
        <v>1</v>
      </c>
      <c r="G45">
        <v>1</v>
      </c>
    </row>
    <row r="46" spans="1:7" x14ac:dyDescent="0.2">
      <c r="A46" t="s">
        <v>165</v>
      </c>
      <c r="B46" t="s">
        <v>119</v>
      </c>
      <c r="C46" t="s">
        <v>368</v>
      </c>
      <c r="D46" s="39">
        <v>2003</v>
      </c>
      <c r="E46">
        <v>2003</v>
      </c>
      <c r="F46">
        <f t="shared" si="0"/>
        <v>1</v>
      </c>
      <c r="G46">
        <v>0</v>
      </c>
    </row>
    <row r="47" spans="1:7" x14ac:dyDescent="0.2">
      <c r="A47" t="s">
        <v>165</v>
      </c>
      <c r="B47" t="s">
        <v>120</v>
      </c>
      <c r="C47" t="s">
        <v>368</v>
      </c>
      <c r="D47" s="39">
        <v>2003</v>
      </c>
      <c r="E47">
        <v>2003</v>
      </c>
      <c r="F47">
        <f t="shared" si="0"/>
        <v>1</v>
      </c>
      <c r="G47">
        <v>0</v>
      </c>
    </row>
    <row r="48" spans="1:7" x14ac:dyDescent="0.2">
      <c r="A48" t="s">
        <v>165</v>
      </c>
      <c r="B48" t="s">
        <v>346</v>
      </c>
      <c r="C48" t="s">
        <v>368</v>
      </c>
      <c r="D48" s="39">
        <v>2003</v>
      </c>
      <c r="E48">
        <v>2003</v>
      </c>
      <c r="F48">
        <f t="shared" si="0"/>
        <v>1</v>
      </c>
      <c r="G48">
        <v>1</v>
      </c>
    </row>
    <row r="49" spans="1:7" x14ac:dyDescent="0.2">
      <c r="A49" t="s">
        <v>172</v>
      </c>
      <c r="B49" t="s">
        <v>64</v>
      </c>
      <c r="C49" t="s">
        <v>368</v>
      </c>
      <c r="D49" s="39">
        <v>2003</v>
      </c>
      <c r="E49">
        <v>2003</v>
      </c>
      <c r="F49">
        <f t="shared" si="0"/>
        <v>1</v>
      </c>
      <c r="G49">
        <v>0</v>
      </c>
    </row>
    <row r="50" spans="1:7" x14ac:dyDescent="0.2">
      <c r="A50" t="s">
        <v>74</v>
      </c>
      <c r="B50" t="s">
        <v>81</v>
      </c>
      <c r="C50" t="s">
        <v>368</v>
      </c>
      <c r="D50" s="39">
        <v>2003</v>
      </c>
      <c r="E50">
        <v>2003</v>
      </c>
      <c r="F50">
        <f t="shared" si="0"/>
        <v>1</v>
      </c>
      <c r="G50">
        <v>0</v>
      </c>
    </row>
    <row r="51" spans="1:7" x14ac:dyDescent="0.2">
      <c r="A51" t="s">
        <v>87</v>
      </c>
      <c r="B51" t="s">
        <v>162</v>
      </c>
      <c r="C51" t="s">
        <v>368</v>
      </c>
      <c r="D51" s="39">
        <v>2003</v>
      </c>
      <c r="E51">
        <v>2003</v>
      </c>
      <c r="F51">
        <f t="shared" si="0"/>
        <v>1</v>
      </c>
      <c r="G51">
        <v>0</v>
      </c>
    </row>
    <row r="52" spans="1:7" x14ac:dyDescent="0.2">
      <c r="A52" t="s">
        <v>174</v>
      </c>
      <c r="B52" t="s">
        <v>122</v>
      </c>
      <c r="C52" t="s">
        <v>368</v>
      </c>
      <c r="D52" s="39">
        <v>2003</v>
      </c>
      <c r="E52">
        <v>2003</v>
      </c>
      <c r="F52">
        <f t="shared" si="0"/>
        <v>1</v>
      </c>
      <c r="G52">
        <v>0</v>
      </c>
    </row>
    <row r="53" spans="1:7" x14ac:dyDescent="0.2">
      <c r="A53" t="s">
        <v>87</v>
      </c>
      <c r="B53" t="s">
        <v>91</v>
      </c>
      <c r="C53" t="s">
        <v>368</v>
      </c>
      <c r="D53" s="39">
        <v>2003</v>
      </c>
      <c r="E53">
        <v>2003</v>
      </c>
      <c r="F53">
        <f t="shared" si="0"/>
        <v>1</v>
      </c>
      <c r="G53">
        <v>0</v>
      </c>
    </row>
    <row r="54" spans="1:7" x14ac:dyDescent="0.2">
      <c r="A54" t="s">
        <v>154</v>
      </c>
      <c r="B54" t="s">
        <v>359</v>
      </c>
      <c r="C54" t="s">
        <v>368</v>
      </c>
      <c r="D54" s="39">
        <v>2003</v>
      </c>
      <c r="E54">
        <v>2003</v>
      </c>
      <c r="F54">
        <f t="shared" si="0"/>
        <v>1</v>
      </c>
      <c r="G54">
        <v>1</v>
      </c>
    </row>
    <row r="55" spans="1:7" x14ac:dyDescent="0.2">
      <c r="A55" t="s">
        <v>154</v>
      </c>
      <c r="B55" t="s">
        <v>360</v>
      </c>
      <c r="C55" t="s">
        <v>368</v>
      </c>
      <c r="D55" s="39">
        <v>2003</v>
      </c>
      <c r="E55">
        <v>2003</v>
      </c>
      <c r="F55">
        <f t="shared" si="0"/>
        <v>1</v>
      </c>
      <c r="G55">
        <v>1</v>
      </c>
    </row>
    <row r="56" spans="1:7" x14ac:dyDescent="0.2">
      <c r="A56" t="s">
        <v>87</v>
      </c>
      <c r="B56" t="s">
        <v>92</v>
      </c>
      <c r="C56" t="s">
        <v>368</v>
      </c>
      <c r="D56" s="39">
        <v>2003</v>
      </c>
      <c r="E56">
        <v>2003</v>
      </c>
      <c r="F56">
        <f t="shared" si="0"/>
        <v>1</v>
      </c>
      <c r="G56">
        <v>0</v>
      </c>
    </row>
    <row r="57" spans="1:7" x14ac:dyDescent="0.2">
      <c r="A57" t="s">
        <v>172</v>
      </c>
      <c r="B57" t="s">
        <v>67</v>
      </c>
      <c r="C57" t="s">
        <v>368</v>
      </c>
      <c r="D57" s="39">
        <v>2002</v>
      </c>
      <c r="E57">
        <v>2003</v>
      </c>
      <c r="F57">
        <f t="shared" si="0"/>
        <v>1</v>
      </c>
      <c r="G57">
        <v>0</v>
      </c>
    </row>
    <row r="58" spans="1:7" x14ac:dyDescent="0.2">
      <c r="A58" t="s">
        <v>158</v>
      </c>
      <c r="B58" t="s">
        <v>15</v>
      </c>
      <c r="C58" t="s">
        <v>368</v>
      </c>
      <c r="D58" s="39">
        <v>2003</v>
      </c>
      <c r="E58">
        <v>2003</v>
      </c>
      <c r="F58">
        <f t="shared" si="0"/>
        <v>1</v>
      </c>
      <c r="G58">
        <v>0</v>
      </c>
    </row>
    <row r="59" spans="1:7" x14ac:dyDescent="0.2">
      <c r="A59" t="s">
        <v>154</v>
      </c>
      <c r="B59" t="s">
        <v>361</v>
      </c>
      <c r="C59" t="s">
        <v>368</v>
      </c>
      <c r="D59" s="39">
        <v>2003</v>
      </c>
      <c r="E59">
        <v>2003</v>
      </c>
      <c r="F59">
        <f t="shared" si="0"/>
        <v>1</v>
      </c>
      <c r="G59">
        <v>1</v>
      </c>
    </row>
    <row r="60" spans="1:7" x14ac:dyDescent="0.2">
      <c r="A60" t="s">
        <v>154</v>
      </c>
      <c r="B60" t="s">
        <v>40</v>
      </c>
      <c r="C60" t="s">
        <v>368</v>
      </c>
      <c r="D60" s="39">
        <v>2003</v>
      </c>
      <c r="E60">
        <v>2003</v>
      </c>
      <c r="F60">
        <f t="shared" si="0"/>
        <v>1</v>
      </c>
      <c r="G60">
        <v>1</v>
      </c>
    </row>
    <row r="61" spans="1:7" x14ac:dyDescent="0.2">
      <c r="A61" t="s">
        <v>174</v>
      </c>
      <c r="B61" t="s">
        <v>127</v>
      </c>
      <c r="C61" t="s">
        <v>368</v>
      </c>
      <c r="D61" s="39">
        <v>2003</v>
      </c>
      <c r="E61">
        <v>2003</v>
      </c>
      <c r="F61">
        <f t="shared" si="0"/>
        <v>1</v>
      </c>
      <c r="G61">
        <v>0</v>
      </c>
    </row>
    <row r="62" spans="1:7" x14ac:dyDescent="0.2">
      <c r="A62" t="s">
        <v>154</v>
      </c>
      <c r="B62" t="s">
        <v>362</v>
      </c>
      <c r="C62" t="s">
        <v>368</v>
      </c>
      <c r="D62" s="39">
        <v>2003</v>
      </c>
      <c r="E62">
        <v>2003</v>
      </c>
      <c r="F62">
        <f t="shared" si="0"/>
        <v>1</v>
      </c>
      <c r="G62">
        <v>1</v>
      </c>
    </row>
    <row r="63" spans="1:7" x14ac:dyDescent="0.2">
      <c r="A63" t="s">
        <v>154</v>
      </c>
      <c r="B63" t="s">
        <v>44</v>
      </c>
      <c r="C63" t="s">
        <v>368</v>
      </c>
      <c r="D63" s="39">
        <v>2003</v>
      </c>
      <c r="E63">
        <v>2003</v>
      </c>
      <c r="F63">
        <f t="shared" si="0"/>
        <v>1</v>
      </c>
      <c r="G63">
        <v>1</v>
      </c>
    </row>
    <row r="64" spans="1:7" x14ac:dyDescent="0.2">
      <c r="A64" t="s">
        <v>174</v>
      </c>
      <c r="B64" t="s">
        <v>130</v>
      </c>
      <c r="C64" t="s">
        <v>368</v>
      </c>
      <c r="D64" s="39">
        <v>2003</v>
      </c>
      <c r="E64">
        <v>2003</v>
      </c>
      <c r="F64">
        <f t="shared" si="0"/>
        <v>1</v>
      </c>
      <c r="G64">
        <v>0</v>
      </c>
    </row>
    <row r="65" spans="1:7" x14ac:dyDescent="0.2">
      <c r="A65" t="s">
        <v>154</v>
      </c>
      <c r="B65" t="s">
        <v>363</v>
      </c>
      <c r="C65" t="s">
        <v>368</v>
      </c>
      <c r="D65" s="39">
        <v>2003</v>
      </c>
      <c r="E65">
        <v>2003</v>
      </c>
      <c r="F65">
        <f t="shared" si="0"/>
        <v>1</v>
      </c>
      <c r="G65">
        <v>1</v>
      </c>
    </row>
    <row r="66" spans="1:7" x14ac:dyDescent="0.2">
      <c r="A66" t="s">
        <v>87</v>
      </c>
      <c r="B66" t="s">
        <v>93</v>
      </c>
      <c r="C66" t="s">
        <v>368</v>
      </c>
      <c r="D66" s="39">
        <v>2003</v>
      </c>
      <c r="E66">
        <v>2003</v>
      </c>
      <c r="F66">
        <f t="shared" si="0"/>
        <v>1</v>
      </c>
      <c r="G66">
        <v>0</v>
      </c>
    </row>
    <row r="67" spans="1:7" x14ac:dyDescent="0.2">
      <c r="A67" t="s">
        <v>165</v>
      </c>
      <c r="B67" t="s">
        <v>132</v>
      </c>
      <c r="C67" t="s">
        <v>368</v>
      </c>
      <c r="D67" s="39">
        <v>2003</v>
      </c>
      <c r="E67">
        <v>2003</v>
      </c>
      <c r="F67">
        <f t="shared" si="0"/>
        <v>1</v>
      </c>
      <c r="G67">
        <v>0</v>
      </c>
    </row>
    <row r="68" spans="1:7" x14ac:dyDescent="0.2">
      <c r="A68" t="s">
        <v>154</v>
      </c>
      <c r="B68" t="s">
        <v>364</v>
      </c>
      <c r="C68" t="s">
        <v>368</v>
      </c>
      <c r="D68" s="39">
        <v>2003</v>
      </c>
      <c r="E68">
        <v>2003</v>
      </c>
      <c r="F68">
        <f t="shared" si="0"/>
        <v>1</v>
      </c>
      <c r="G68">
        <v>1</v>
      </c>
    </row>
    <row r="69" spans="1:7" x14ac:dyDescent="0.2">
      <c r="A69" t="s">
        <v>74</v>
      </c>
      <c r="B69" t="s">
        <v>83</v>
      </c>
      <c r="C69" t="s">
        <v>368</v>
      </c>
      <c r="D69" s="39">
        <v>2003</v>
      </c>
      <c r="E69">
        <v>2003</v>
      </c>
      <c r="F69">
        <f t="shared" si="0"/>
        <v>1</v>
      </c>
      <c r="G69">
        <v>0</v>
      </c>
    </row>
    <row r="70" spans="1:7" x14ac:dyDescent="0.2">
      <c r="A70" t="s">
        <v>154</v>
      </c>
      <c r="B70" t="s">
        <v>45</v>
      </c>
      <c r="C70" t="s">
        <v>368</v>
      </c>
      <c r="D70" s="39">
        <v>2003</v>
      </c>
      <c r="E70">
        <v>2003</v>
      </c>
      <c r="F70">
        <f t="shared" si="0"/>
        <v>1</v>
      </c>
      <c r="G70">
        <v>0</v>
      </c>
    </row>
    <row r="71" spans="1:7" x14ac:dyDescent="0.2">
      <c r="A71" t="s">
        <v>154</v>
      </c>
      <c r="B71" t="s">
        <v>47</v>
      </c>
      <c r="C71" t="s">
        <v>368</v>
      </c>
      <c r="D71" s="39">
        <v>2003</v>
      </c>
      <c r="E71">
        <v>2003</v>
      </c>
      <c r="F71">
        <f t="shared" si="0"/>
        <v>1</v>
      </c>
      <c r="G71">
        <v>0</v>
      </c>
    </row>
    <row r="72" spans="1:7" x14ac:dyDescent="0.2">
      <c r="A72" t="s">
        <v>74</v>
      </c>
      <c r="B72" t="s">
        <v>347</v>
      </c>
      <c r="C72" t="s">
        <v>368</v>
      </c>
      <c r="D72" s="39">
        <v>2003</v>
      </c>
      <c r="E72">
        <v>2003</v>
      </c>
      <c r="F72">
        <f t="shared" si="0"/>
        <v>1</v>
      </c>
      <c r="G72">
        <v>1</v>
      </c>
    </row>
    <row r="73" spans="1:7" x14ac:dyDescent="0.2">
      <c r="A73" t="s">
        <v>154</v>
      </c>
      <c r="B73" t="s">
        <v>365</v>
      </c>
      <c r="C73" t="s">
        <v>368</v>
      </c>
      <c r="D73" s="39">
        <v>2003</v>
      </c>
      <c r="E73">
        <v>2003</v>
      </c>
      <c r="F73">
        <f t="shared" ref="F73:F77" si="1">COUNTIF(B$8:B$77,B73)</f>
        <v>1</v>
      </c>
      <c r="G73">
        <v>1</v>
      </c>
    </row>
    <row r="74" spans="1:7" x14ac:dyDescent="0.2">
      <c r="A74" t="s">
        <v>172</v>
      </c>
      <c r="B74" t="s">
        <v>72</v>
      </c>
      <c r="C74" t="s">
        <v>368</v>
      </c>
      <c r="D74" s="39">
        <v>2002</v>
      </c>
      <c r="E74">
        <v>2003</v>
      </c>
      <c r="F74">
        <f t="shared" si="1"/>
        <v>1</v>
      </c>
      <c r="G74">
        <v>1</v>
      </c>
    </row>
    <row r="75" spans="1:7" x14ac:dyDescent="0.2">
      <c r="A75" t="s">
        <v>158</v>
      </c>
      <c r="B75" t="s">
        <v>164</v>
      </c>
      <c r="C75" t="s">
        <v>368</v>
      </c>
      <c r="D75" s="39">
        <v>2003</v>
      </c>
      <c r="E75">
        <v>2003</v>
      </c>
      <c r="F75">
        <f t="shared" si="1"/>
        <v>1</v>
      </c>
      <c r="G75">
        <v>0</v>
      </c>
    </row>
    <row r="76" spans="1:7" x14ac:dyDescent="0.2">
      <c r="A76" t="s">
        <v>165</v>
      </c>
      <c r="B76" t="s">
        <v>136</v>
      </c>
      <c r="C76" t="s">
        <v>368</v>
      </c>
      <c r="D76" s="39">
        <v>2003</v>
      </c>
      <c r="E76">
        <v>2003</v>
      </c>
      <c r="F76">
        <f t="shared" si="1"/>
        <v>1</v>
      </c>
      <c r="G76">
        <v>0</v>
      </c>
    </row>
    <row r="77" spans="1:7" x14ac:dyDescent="0.2">
      <c r="A77" t="s">
        <v>165</v>
      </c>
      <c r="B77" t="s">
        <v>167</v>
      </c>
      <c r="C77" t="s">
        <v>368</v>
      </c>
      <c r="D77" s="39">
        <v>2003</v>
      </c>
      <c r="E77">
        <v>2003</v>
      </c>
      <c r="F77">
        <f t="shared" si="1"/>
        <v>1</v>
      </c>
      <c r="G77">
        <v>0</v>
      </c>
    </row>
    <row r="78" spans="1:7" x14ac:dyDescent="0.2">
      <c r="F78" s="40">
        <f>SUM(F8:F77)</f>
        <v>70</v>
      </c>
      <c r="G78" s="40">
        <f>SUM(G8:G77)</f>
        <v>32</v>
      </c>
    </row>
  </sheetData>
  <sortState ref="A8:F77">
    <sortCondition ref="B8:B77"/>
  </sortState>
  <conditionalFormatting sqref="A1:I7">
    <cfRule type="duplicateValues" dxfId="18" priority="1"/>
    <cfRule type="duplicateValues" dxfId="17" priority="2"/>
  </conditionalFormatting>
  <hyperlinks>
    <hyperlink ref="B2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J22" sqref="J22"/>
    </sheetView>
  </sheetViews>
  <sheetFormatPr baseColWidth="10" defaultColWidth="8.83203125" defaultRowHeight="16" x14ac:dyDescent="0.2"/>
  <cols>
    <col min="1" max="1" width="25.6640625" customWidth="1"/>
    <col min="2" max="2" width="16.83203125" customWidth="1"/>
    <col min="3" max="3" width="11.6640625" customWidth="1"/>
    <col min="4" max="4" width="12.33203125" customWidth="1"/>
    <col min="5" max="5" width="14" bestFit="1" customWidth="1"/>
    <col min="8" max="8" width="0" hidden="1" customWidth="1"/>
  </cols>
  <sheetData>
    <row r="1" spans="1:9" ht="24" x14ac:dyDescent="0.3">
      <c r="A1" s="36" t="s">
        <v>342</v>
      </c>
      <c r="B1" s="4"/>
      <c r="C1" s="3"/>
    </row>
    <row r="2" spans="1:9" x14ac:dyDescent="0.2">
      <c r="A2" s="3" t="s">
        <v>138</v>
      </c>
      <c r="B2" s="27" t="s">
        <v>344</v>
      </c>
      <c r="C2" s="3"/>
    </row>
    <row r="3" spans="1:9" x14ac:dyDescent="0.2">
      <c r="A3" s="5" t="s">
        <v>139</v>
      </c>
      <c r="B3" s="6" t="s">
        <v>141</v>
      </c>
    </row>
    <row r="4" spans="1:9" x14ac:dyDescent="0.2">
      <c r="A4" s="7"/>
      <c r="B4" s="8" t="s">
        <v>144</v>
      </c>
    </row>
    <row r="5" spans="1:9" x14ac:dyDescent="0.2">
      <c r="A5" s="9"/>
      <c r="B5" s="19" t="s">
        <v>140</v>
      </c>
    </row>
    <row r="6" spans="1:9" x14ac:dyDescent="0.2">
      <c r="A6" t="s">
        <v>178</v>
      </c>
      <c r="B6" t="s">
        <v>343</v>
      </c>
    </row>
    <row r="7" spans="1:9" ht="37.5" customHeight="1" x14ac:dyDescent="0.2">
      <c r="A7" s="15" t="s">
        <v>3</v>
      </c>
      <c r="B7" s="15" t="s">
        <v>0</v>
      </c>
      <c r="C7" s="15" t="s">
        <v>323</v>
      </c>
      <c r="D7" s="15" t="s">
        <v>181</v>
      </c>
      <c r="E7" s="15" t="s">
        <v>180</v>
      </c>
      <c r="F7" s="15" t="s">
        <v>182</v>
      </c>
      <c r="G7" s="15" t="s">
        <v>147</v>
      </c>
      <c r="H7" s="24" t="s">
        <v>245</v>
      </c>
      <c r="I7" s="15" t="s">
        <v>188</v>
      </c>
    </row>
    <row r="8" spans="1:9" x14ac:dyDescent="0.2">
      <c r="A8" t="s">
        <v>74</v>
      </c>
      <c r="B8" t="s">
        <v>75</v>
      </c>
      <c r="C8" t="s">
        <v>324</v>
      </c>
      <c r="D8">
        <v>2002</v>
      </c>
      <c r="E8">
        <v>2002</v>
      </c>
      <c r="F8">
        <v>1</v>
      </c>
      <c r="G8">
        <v>1</v>
      </c>
    </row>
    <row r="9" spans="1:9" x14ac:dyDescent="0.2">
      <c r="A9" t="s">
        <v>74</v>
      </c>
      <c r="B9" t="s">
        <v>76</v>
      </c>
      <c r="C9" t="s">
        <v>326</v>
      </c>
      <c r="D9">
        <v>2002</v>
      </c>
      <c r="E9">
        <v>2002</v>
      </c>
      <c r="F9">
        <v>1</v>
      </c>
      <c r="G9">
        <v>1</v>
      </c>
    </row>
    <row r="10" spans="1:9" x14ac:dyDescent="0.2">
      <c r="A10" t="s">
        <v>74</v>
      </c>
      <c r="B10" t="s">
        <v>168</v>
      </c>
      <c r="C10" t="s">
        <v>332</v>
      </c>
      <c r="D10">
        <v>2002</v>
      </c>
      <c r="E10">
        <v>2002</v>
      </c>
      <c r="F10">
        <v>1</v>
      </c>
      <c r="G10">
        <v>1</v>
      </c>
    </row>
    <row r="11" spans="1:9" x14ac:dyDescent="0.2">
      <c r="A11" t="s">
        <v>74</v>
      </c>
      <c r="B11" t="s">
        <v>335</v>
      </c>
      <c r="C11" t="s">
        <v>334</v>
      </c>
      <c r="D11">
        <v>2007</v>
      </c>
      <c r="E11">
        <v>2007</v>
      </c>
      <c r="F11">
        <v>1</v>
      </c>
      <c r="G11">
        <v>1</v>
      </c>
    </row>
    <row r="12" spans="1:9" x14ac:dyDescent="0.2">
      <c r="A12" t="s">
        <v>74</v>
      </c>
      <c r="B12" t="s">
        <v>81</v>
      </c>
      <c r="C12" t="s">
        <v>328</v>
      </c>
      <c r="D12">
        <v>2003</v>
      </c>
      <c r="E12">
        <v>2004</v>
      </c>
      <c r="F12">
        <v>1</v>
      </c>
      <c r="G12">
        <v>1</v>
      </c>
    </row>
    <row r="13" spans="1:9" x14ac:dyDescent="0.2">
      <c r="A13" t="s">
        <v>74</v>
      </c>
      <c r="B13" t="s">
        <v>321</v>
      </c>
      <c r="C13" t="s">
        <v>329</v>
      </c>
      <c r="D13">
        <v>2006</v>
      </c>
      <c r="E13">
        <v>2007</v>
      </c>
      <c r="F13">
        <v>1</v>
      </c>
      <c r="G13">
        <v>1</v>
      </c>
    </row>
    <row r="14" spans="1:9" x14ac:dyDescent="0.2">
      <c r="A14" t="s">
        <v>74</v>
      </c>
      <c r="B14" t="s">
        <v>131</v>
      </c>
      <c r="C14" t="s">
        <v>336</v>
      </c>
      <c r="D14">
        <v>2006</v>
      </c>
      <c r="E14">
        <v>2006</v>
      </c>
      <c r="F14">
        <v>1</v>
      </c>
      <c r="G14">
        <v>1</v>
      </c>
    </row>
    <row r="15" spans="1:9" x14ac:dyDescent="0.2">
      <c r="A15" t="s">
        <v>74</v>
      </c>
      <c r="B15" t="s">
        <v>169</v>
      </c>
      <c r="C15" t="s">
        <v>325</v>
      </c>
      <c r="D15">
        <v>2001</v>
      </c>
      <c r="E15">
        <v>2001</v>
      </c>
      <c r="F15">
        <v>1</v>
      </c>
      <c r="G15">
        <v>1</v>
      </c>
    </row>
    <row r="16" spans="1:9" x14ac:dyDescent="0.2">
      <c r="A16" t="s">
        <v>74</v>
      </c>
      <c r="B16" t="s">
        <v>83</v>
      </c>
      <c r="C16" t="s">
        <v>333</v>
      </c>
      <c r="D16">
        <v>2002</v>
      </c>
      <c r="E16">
        <v>2002</v>
      </c>
      <c r="F16">
        <v>1</v>
      </c>
      <c r="G16">
        <v>1</v>
      </c>
    </row>
    <row r="17" spans="1:12" x14ac:dyDescent="0.2">
      <c r="A17" t="s">
        <v>74</v>
      </c>
      <c r="B17" t="s">
        <v>85</v>
      </c>
      <c r="C17" t="s">
        <v>330</v>
      </c>
      <c r="D17">
        <v>2003</v>
      </c>
      <c r="E17">
        <v>2003</v>
      </c>
      <c r="F17">
        <v>1</v>
      </c>
      <c r="G17">
        <v>1</v>
      </c>
    </row>
    <row r="18" spans="1:12" x14ac:dyDescent="0.2">
      <c r="A18" s="105" t="s">
        <v>468</v>
      </c>
      <c r="B18" s="105" t="s">
        <v>81</v>
      </c>
      <c r="C18" s="105" t="s">
        <v>328</v>
      </c>
      <c r="D18" s="105">
        <v>2011</v>
      </c>
      <c r="E18" s="105">
        <v>2011</v>
      </c>
      <c r="F18" s="105">
        <v>1</v>
      </c>
      <c r="G18" s="105">
        <v>0</v>
      </c>
      <c r="H18" s="105" t="str">
        <f>IF(G18=1,B18,"")</f>
        <v/>
      </c>
      <c r="I18" s="105"/>
      <c r="J18" s="105"/>
      <c r="K18" s="105"/>
      <c r="L18" s="105"/>
    </row>
    <row r="19" spans="1:12" x14ac:dyDescent="0.2">
      <c r="A19" s="105" t="s">
        <v>468</v>
      </c>
      <c r="B19" s="105" t="s">
        <v>464</v>
      </c>
      <c r="C19" s="105" t="s">
        <v>334</v>
      </c>
      <c r="D19" s="105">
        <v>2007</v>
      </c>
      <c r="E19" s="105">
        <v>2007</v>
      </c>
      <c r="F19" s="105">
        <v>1</v>
      </c>
      <c r="G19" s="105">
        <v>0</v>
      </c>
      <c r="H19" s="105"/>
      <c r="I19" s="105"/>
      <c r="J19" s="105"/>
      <c r="K19" s="105"/>
      <c r="L19" s="105"/>
    </row>
    <row r="20" spans="1:12" x14ac:dyDescent="0.2">
      <c r="A20" s="105" t="s">
        <v>468</v>
      </c>
      <c r="B20" s="105" t="s">
        <v>169</v>
      </c>
      <c r="C20" s="105"/>
      <c r="D20" s="105"/>
      <c r="E20" s="105">
        <v>2007</v>
      </c>
      <c r="F20" s="105">
        <v>1</v>
      </c>
      <c r="G20" s="105">
        <v>0</v>
      </c>
    </row>
    <row r="21" spans="1:12" x14ac:dyDescent="0.2">
      <c r="F21" s="40">
        <f>SUM(F8:F20)</f>
        <v>13</v>
      </c>
      <c r="G21" s="40">
        <f>SUM(G8:H20)</f>
        <v>10</v>
      </c>
    </row>
  </sheetData>
  <sortState ref="A8:G17">
    <sortCondition ref="B8:B17"/>
  </sortState>
  <conditionalFormatting sqref="A1:I7">
    <cfRule type="duplicateValues" dxfId="16" priority="1"/>
    <cfRule type="duplicateValues" dxfId="15" priority="2"/>
  </conditionalFormatting>
  <hyperlinks>
    <hyperlink ref="B2" r:id="rId1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ySplit="7" topLeftCell="A14" activePane="bottomLeft" state="frozen"/>
      <selection pane="bottomLeft" activeCell="B40" sqref="B40:H40"/>
    </sheetView>
  </sheetViews>
  <sheetFormatPr baseColWidth="10" defaultColWidth="11" defaultRowHeight="16" x14ac:dyDescent="0.2"/>
  <cols>
    <col min="2" max="2" width="15.1640625" customWidth="1"/>
    <col min="4" max="4" width="18.5" customWidth="1"/>
    <col min="6" max="6" width="11.83203125" bestFit="1" customWidth="1"/>
    <col min="7" max="7" width="0" hidden="1" customWidth="1"/>
  </cols>
  <sheetData>
    <row r="1" spans="1:7" ht="24" x14ac:dyDescent="0.3">
      <c r="A1" s="36" t="s">
        <v>451</v>
      </c>
      <c r="B1" s="4"/>
      <c r="C1" s="3"/>
    </row>
    <row r="2" spans="1:7" x14ac:dyDescent="0.2">
      <c r="A2" s="3" t="s">
        <v>138</v>
      </c>
      <c r="B2" s="27" t="s">
        <v>303</v>
      </c>
      <c r="C2" s="3"/>
    </row>
    <row r="3" spans="1:7" x14ac:dyDescent="0.2">
      <c r="A3" s="5" t="s">
        <v>139</v>
      </c>
      <c r="B3" s="6" t="s">
        <v>141</v>
      </c>
    </row>
    <row r="4" spans="1:7" x14ac:dyDescent="0.2">
      <c r="A4" s="7"/>
      <c r="B4" s="8" t="s">
        <v>144</v>
      </c>
    </row>
    <row r="5" spans="1:7" x14ac:dyDescent="0.2">
      <c r="A5" s="9"/>
      <c r="B5" s="19" t="s">
        <v>140</v>
      </c>
    </row>
    <row r="6" spans="1:7" x14ac:dyDescent="0.2">
      <c r="A6" s="25"/>
    </row>
    <row r="7" spans="1:7" ht="32" x14ac:dyDescent="0.2">
      <c r="A7" s="15" t="s">
        <v>3</v>
      </c>
      <c r="B7" s="15" t="s">
        <v>0</v>
      </c>
      <c r="C7" s="15" t="s">
        <v>1</v>
      </c>
      <c r="D7" s="15" t="s">
        <v>241</v>
      </c>
      <c r="E7" s="15" t="s">
        <v>182</v>
      </c>
      <c r="F7" s="15" t="s">
        <v>147</v>
      </c>
      <c r="G7" s="24" t="s">
        <v>148</v>
      </c>
    </row>
    <row r="8" spans="1:7" x14ac:dyDescent="0.2">
      <c r="B8" s="67" t="s">
        <v>21</v>
      </c>
      <c r="C8" s="41" t="s">
        <v>396</v>
      </c>
      <c r="D8" s="67" t="s">
        <v>450</v>
      </c>
      <c r="E8" s="67">
        <v>1</v>
      </c>
      <c r="F8" s="67">
        <v>1</v>
      </c>
    </row>
    <row r="9" spans="1:7" x14ac:dyDescent="0.2">
      <c r="B9" s="67" t="s">
        <v>21</v>
      </c>
      <c r="C9" s="41">
        <v>2003</v>
      </c>
      <c r="D9" s="67" t="s">
        <v>450</v>
      </c>
      <c r="E9" s="67">
        <v>1</v>
      </c>
      <c r="F9" s="67"/>
    </row>
    <row r="10" spans="1:7" x14ac:dyDescent="0.2">
      <c r="B10" s="67" t="s">
        <v>21</v>
      </c>
      <c r="C10" s="41">
        <v>2004</v>
      </c>
      <c r="D10" s="67" t="s">
        <v>450</v>
      </c>
      <c r="E10" s="67">
        <v>1</v>
      </c>
      <c r="F10" s="67"/>
    </row>
    <row r="11" spans="1:7" x14ac:dyDescent="0.2">
      <c r="B11" s="67" t="s">
        <v>21</v>
      </c>
      <c r="C11" s="41">
        <v>2005</v>
      </c>
      <c r="D11" s="67" t="s">
        <v>450</v>
      </c>
      <c r="E11" s="67">
        <v>1</v>
      </c>
      <c r="F11" s="67"/>
    </row>
    <row r="12" spans="1:7" x14ac:dyDescent="0.2">
      <c r="B12" s="67" t="s">
        <v>21</v>
      </c>
      <c r="C12" s="41">
        <v>2006</v>
      </c>
      <c r="D12" s="67" t="s">
        <v>450</v>
      </c>
      <c r="E12" s="67">
        <v>1</v>
      </c>
      <c r="F12" s="67"/>
    </row>
    <row r="13" spans="1:7" x14ac:dyDescent="0.2">
      <c r="B13" s="67" t="s">
        <v>21</v>
      </c>
      <c r="C13" s="41">
        <v>2007</v>
      </c>
      <c r="D13" s="67" t="s">
        <v>450</v>
      </c>
      <c r="E13" s="67">
        <v>1</v>
      </c>
      <c r="F13" s="67"/>
    </row>
    <row r="14" spans="1:7" x14ac:dyDescent="0.2">
      <c r="B14" s="67" t="s">
        <v>21</v>
      </c>
      <c r="C14" s="41">
        <v>2008</v>
      </c>
      <c r="D14" s="67" t="s">
        <v>450</v>
      </c>
      <c r="E14" s="67">
        <v>1</v>
      </c>
      <c r="F14" s="67"/>
    </row>
    <row r="15" spans="1:7" x14ac:dyDescent="0.2">
      <c r="B15" s="67" t="s">
        <v>21</v>
      </c>
      <c r="C15" s="41">
        <v>2009</v>
      </c>
      <c r="D15" s="67" t="s">
        <v>450</v>
      </c>
      <c r="E15" s="67">
        <v>1</v>
      </c>
      <c r="F15" s="67"/>
    </row>
    <row r="16" spans="1:7" x14ac:dyDescent="0.2">
      <c r="B16" s="67" t="s">
        <v>21</v>
      </c>
      <c r="C16" s="41">
        <v>2011</v>
      </c>
      <c r="D16" s="67" t="s">
        <v>450</v>
      </c>
      <c r="E16" s="67">
        <v>1</v>
      </c>
      <c r="F16" s="67"/>
    </row>
    <row r="17" spans="2:6" x14ac:dyDescent="0.2">
      <c r="B17" s="67" t="s">
        <v>21</v>
      </c>
      <c r="C17" s="41">
        <v>2012</v>
      </c>
      <c r="D17" s="67" t="s">
        <v>450</v>
      </c>
      <c r="E17" s="67">
        <v>1</v>
      </c>
      <c r="F17" s="67"/>
    </row>
    <row r="18" spans="2:6" x14ac:dyDescent="0.2">
      <c r="B18" s="67" t="s">
        <v>110</v>
      </c>
      <c r="C18" s="41" t="s">
        <v>409</v>
      </c>
      <c r="D18" s="67" t="s">
        <v>446</v>
      </c>
      <c r="E18" s="67">
        <v>1</v>
      </c>
      <c r="F18" s="67">
        <v>1</v>
      </c>
    </row>
    <row r="19" spans="2:6" x14ac:dyDescent="0.2">
      <c r="B19" s="67" t="s">
        <v>110</v>
      </c>
      <c r="C19" s="68">
        <v>2010</v>
      </c>
      <c r="D19" s="67" t="s">
        <v>446</v>
      </c>
      <c r="E19" s="67">
        <v>1</v>
      </c>
      <c r="F19" s="67"/>
    </row>
    <row r="20" spans="2:6" x14ac:dyDescent="0.2">
      <c r="B20" s="67" t="s">
        <v>156</v>
      </c>
      <c r="C20" s="41">
        <v>2005</v>
      </c>
      <c r="D20" s="67" t="s">
        <v>446</v>
      </c>
      <c r="E20" s="67">
        <v>1</v>
      </c>
      <c r="F20" s="67">
        <v>1</v>
      </c>
    </row>
    <row r="21" spans="2:6" x14ac:dyDescent="0.2">
      <c r="B21" s="67" t="s">
        <v>156</v>
      </c>
      <c r="C21" s="41">
        <v>2006</v>
      </c>
      <c r="D21" s="67" t="s">
        <v>446</v>
      </c>
      <c r="E21" s="67">
        <v>1</v>
      </c>
      <c r="F21" s="67"/>
    </row>
    <row r="22" spans="2:6" x14ac:dyDescent="0.2">
      <c r="B22" s="67" t="s">
        <v>156</v>
      </c>
      <c r="C22" s="41">
        <v>2007</v>
      </c>
      <c r="D22" s="67" t="s">
        <v>446</v>
      </c>
      <c r="E22" s="67">
        <v>1</v>
      </c>
      <c r="F22" s="67"/>
    </row>
    <row r="23" spans="2:6" x14ac:dyDescent="0.2">
      <c r="B23" s="67" t="s">
        <v>156</v>
      </c>
      <c r="C23" s="41">
        <v>2008</v>
      </c>
      <c r="D23" s="67" t="s">
        <v>446</v>
      </c>
      <c r="E23" s="67">
        <v>1</v>
      </c>
      <c r="F23" s="67"/>
    </row>
    <row r="24" spans="2:6" x14ac:dyDescent="0.2">
      <c r="B24" s="67" t="s">
        <v>156</v>
      </c>
      <c r="C24" s="41">
        <v>2009</v>
      </c>
      <c r="D24" s="67" t="s">
        <v>446</v>
      </c>
      <c r="E24" s="67">
        <v>1</v>
      </c>
      <c r="F24" s="67"/>
    </row>
    <row r="25" spans="2:6" x14ac:dyDescent="0.2">
      <c r="B25" s="67" t="s">
        <v>156</v>
      </c>
      <c r="C25" s="41">
        <v>2010</v>
      </c>
      <c r="D25" s="67" t="s">
        <v>446</v>
      </c>
      <c r="E25" s="67">
        <v>1</v>
      </c>
      <c r="F25" s="67"/>
    </row>
    <row r="26" spans="2:6" x14ac:dyDescent="0.2">
      <c r="B26" s="67" t="s">
        <v>156</v>
      </c>
      <c r="C26" s="41">
        <v>2011</v>
      </c>
      <c r="D26" s="67" t="s">
        <v>446</v>
      </c>
      <c r="E26" s="67">
        <v>1</v>
      </c>
      <c r="F26" s="67"/>
    </row>
    <row r="27" spans="2:6" x14ac:dyDescent="0.2">
      <c r="B27" s="67" t="s">
        <v>156</v>
      </c>
      <c r="C27" s="41">
        <v>2012</v>
      </c>
      <c r="D27" s="67" t="s">
        <v>446</v>
      </c>
      <c r="E27" s="67">
        <v>1</v>
      </c>
      <c r="F27" s="67"/>
    </row>
    <row r="28" spans="2:6" x14ac:dyDescent="0.2">
      <c r="B28" s="67" t="s">
        <v>118</v>
      </c>
      <c r="C28" s="41" t="s">
        <v>398</v>
      </c>
      <c r="D28" s="67" t="s">
        <v>446</v>
      </c>
      <c r="E28" s="67">
        <v>1</v>
      </c>
      <c r="F28" s="67">
        <v>1</v>
      </c>
    </row>
    <row r="29" spans="2:6" x14ac:dyDescent="0.2">
      <c r="B29" s="67" t="s">
        <v>92</v>
      </c>
      <c r="C29" s="41" t="s">
        <v>408</v>
      </c>
      <c r="D29" s="67" t="s">
        <v>446</v>
      </c>
      <c r="E29" s="67">
        <v>1</v>
      </c>
      <c r="F29" s="67">
        <v>1</v>
      </c>
    </row>
    <row r="30" spans="2:6" x14ac:dyDescent="0.2">
      <c r="B30" s="67" t="s">
        <v>92</v>
      </c>
      <c r="C30" s="41" t="s">
        <v>449</v>
      </c>
      <c r="D30" s="67" t="s">
        <v>446</v>
      </c>
      <c r="E30" s="67">
        <v>1</v>
      </c>
      <c r="F30" s="67"/>
    </row>
    <row r="31" spans="2:6" x14ac:dyDescent="0.2">
      <c r="B31" s="67" t="s">
        <v>92</v>
      </c>
      <c r="C31" s="41" t="s">
        <v>448</v>
      </c>
      <c r="D31" s="67" t="s">
        <v>446</v>
      </c>
      <c r="E31" s="67">
        <v>1</v>
      </c>
      <c r="F31" s="67"/>
    </row>
    <row r="32" spans="2:6" x14ac:dyDescent="0.2">
      <c r="B32" s="67" t="s">
        <v>92</v>
      </c>
      <c r="C32" s="41" t="s">
        <v>403</v>
      </c>
      <c r="D32" s="67" t="s">
        <v>447</v>
      </c>
      <c r="E32" s="67">
        <v>1</v>
      </c>
      <c r="F32" s="67"/>
    </row>
    <row r="33" spans="2:6" x14ac:dyDescent="0.2">
      <c r="B33" t="s">
        <v>129</v>
      </c>
      <c r="C33" s="41" t="s">
        <v>409</v>
      </c>
      <c r="D33" t="s">
        <v>446</v>
      </c>
      <c r="E33" s="67">
        <v>1</v>
      </c>
      <c r="F33">
        <v>1</v>
      </c>
    </row>
    <row r="34" spans="2:6" x14ac:dyDescent="0.2">
      <c r="B34" t="s">
        <v>129</v>
      </c>
      <c r="C34" s="41">
        <v>2011</v>
      </c>
      <c r="D34" t="s">
        <v>446</v>
      </c>
      <c r="E34" s="67">
        <v>1</v>
      </c>
    </row>
    <row r="35" spans="2:6" x14ac:dyDescent="0.2">
      <c r="B35" t="s">
        <v>71</v>
      </c>
      <c r="C35" s="41">
        <v>1992</v>
      </c>
      <c r="D35" t="s">
        <v>446</v>
      </c>
      <c r="E35" s="67">
        <v>1</v>
      </c>
      <c r="F35">
        <v>1</v>
      </c>
    </row>
    <row r="36" spans="2:6" x14ac:dyDescent="0.2">
      <c r="B36" t="s">
        <v>46</v>
      </c>
      <c r="C36" s="41">
        <v>2003</v>
      </c>
      <c r="D36" t="s">
        <v>446</v>
      </c>
      <c r="E36" s="67">
        <v>1</v>
      </c>
      <c r="F36">
        <v>1</v>
      </c>
    </row>
    <row r="37" spans="2:6" x14ac:dyDescent="0.2">
      <c r="E37" s="40">
        <f>SUM(E8:E36)</f>
        <v>29</v>
      </c>
      <c r="F37" s="40">
        <f>SUM(F8:F36)</f>
        <v>8</v>
      </c>
    </row>
  </sheetData>
  <autoFilter ref="A7:G37">
    <sortState ref="A8:G110">
      <sortCondition ref="B7:B110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zoomScale="91" zoomScaleNormal="91" zoomScalePageLayoutView="91" workbookViewId="0">
      <selection activeCell="Y42" sqref="Y42"/>
    </sheetView>
  </sheetViews>
  <sheetFormatPr baseColWidth="10" defaultColWidth="8.83203125" defaultRowHeight="16" x14ac:dyDescent="0.2"/>
  <cols>
    <col min="1" max="1" width="15.6640625" bestFit="1" customWidth="1"/>
    <col min="2" max="2" width="7.6640625" customWidth="1"/>
    <col min="3" max="4" width="4.33203125" bestFit="1" customWidth="1"/>
    <col min="5" max="5" width="5.33203125" bestFit="1" customWidth="1"/>
    <col min="6" max="6" width="5.1640625" bestFit="1" customWidth="1"/>
    <col min="7" max="7" width="8.1640625" bestFit="1" customWidth="1"/>
    <col min="8" max="8" width="10.6640625" bestFit="1" customWidth="1"/>
    <col min="9" max="9" width="10.33203125" customWidth="1"/>
    <col min="10" max="31" width="4.83203125" customWidth="1"/>
    <col min="32" max="32" width="7.5" customWidth="1"/>
    <col min="33" max="33" width="6.5" customWidth="1"/>
    <col min="34" max="34" width="10.33203125" bestFit="1" customWidth="1"/>
  </cols>
  <sheetData>
    <row r="3" spans="1:8" x14ac:dyDescent="0.2">
      <c r="A3" s="75" t="s">
        <v>3</v>
      </c>
      <c r="B3" t="s">
        <v>474</v>
      </c>
    </row>
    <row r="5" spans="1:8" x14ac:dyDescent="0.2">
      <c r="A5" s="75" t="s">
        <v>470</v>
      </c>
      <c r="B5" s="75" t="s">
        <v>473</v>
      </c>
    </row>
    <row r="6" spans="1:8" x14ac:dyDescent="0.2">
      <c r="A6" s="75" t="s">
        <v>471</v>
      </c>
      <c r="B6" t="s">
        <v>304</v>
      </c>
      <c r="C6" t="s">
        <v>281</v>
      </c>
      <c r="D6" t="s">
        <v>450</v>
      </c>
      <c r="E6" t="s">
        <v>244</v>
      </c>
      <c r="F6" t="s">
        <v>151</v>
      </c>
      <c r="G6" t="s">
        <v>380</v>
      </c>
      <c r="H6" t="s">
        <v>472</v>
      </c>
    </row>
    <row r="7" spans="1:8" x14ac:dyDescent="0.2">
      <c r="A7" s="72">
        <v>1985</v>
      </c>
      <c r="B7" s="74"/>
      <c r="C7" s="74">
        <v>1</v>
      </c>
      <c r="D7" s="74"/>
      <c r="E7" s="74">
        <v>2</v>
      </c>
      <c r="F7" s="74"/>
      <c r="G7" s="74"/>
      <c r="H7" s="74">
        <v>3</v>
      </c>
    </row>
    <row r="8" spans="1:8" x14ac:dyDescent="0.2">
      <c r="A8" s="72">
        <v>1986</v>
      </c>
      <c r="B8" s="74"/>
      <c r="C8" s="74">
        <v>9</v>
      </c>
      <c r="D8" s="74"/>
      <c r="E8" s="74">
        <v>1</v>
      </c>
      <c r="F8" s="74"/>
      <c r="G8" s="74"/>
      <c r="H8" s="74">
        <v>10</v>
      </c>
    </row>
    <row r="9" spans="1:8" x14ac:dyDescent="0.2">
      <c r="A9" s="72">
        <v>1987</v>
      </c>
      <c r="B9" s="74"/>
      <c r="C9" s="74">
        <v>11</v>
      </c>
      <c r="D9" s="74"/>
      <c r="E9" s="74">
        <v>2</v>
      </c>
      <c r="F9" s="74"/>
      <c r="G9" s="74"/>
      <c r="H9" s="74">
        <v>13</v>
      </c>
    </row>
    <row r="10" spans="1:8" x14ac:dyDescent="0.2">
      <c r="A10" s="72">
        <v>1988</v>
      </c>
      <c r="B10" s="74"/>
      <c r="C10" s="74">
        <v>7</v>
      </c>
      <c r="D10" s="74"/>
      <c r="E10" s="74">
        <v>3</v>
      </c>
      <c r="F10" s="74"/>
      <c r="G10" s="74"/>
      <c r="H10" s="74">
        <v>10</v>
      </c>
    </row>
    <row r="11" spans="1:8" x14ac:dyDescent="0.2">
      <c r="A11" s="72">
        <v>1989</v>
      </c>
      <c r="B11" s="74"/>
      <c r="C11" s="74">
        <v>2</v>
      </c>
      <c r="D11" s="74"/>
      <c r="E11" s="74">
        <v>2</v>
      </c>
      <c r="F11" s="74"/>
      <c r="G11" s="74"/>
      <c r="H11" s="74">
        <v>4</v>
      </c>
    </row>
    <row r="12" spans="1:8" x14ac:dyDescent="0.2">
      <c r="A12" s="72">
        <v>1990</v>
      </c>
      <c r="B12" s="74"/>
      <c r="C12" s="74">
        <v>5</v>
      </c>
      <c r="D12" s="74"/>
      <c r="E12" s="74">
        <v>2</v>
      </c>
      <c r="F12" s="74"/>
      <c r="G12" s="74"/>
      <c r="H12" s="74">
        <v>7</v>
      </c>
    </row>
    <row r="13" spans="1:8" x14ac:dyDescent="0.2">
      <c r="A13" s="72">
        <v>1991</v>
      </c>
      <c r="B13" s="74"/>
      <c r="C13" s="74">
        <v>6</v>
      </c>
      <c r="D13" s="74"/>
      <c r="E13" s="74">
        <v>6</v>
      </c>
      <c r="F13" s="74"/>
      <c r="G13" s="74"/>
      <c r="H13" s="74">
        <v>12</v>
      </c>
    </row>
    <row r="14" spans="1:8" x14ac:dyDescent="0.2">
      <c r="A14" s="72">
        <v>1992</v>
      </c>
      <c r="B14" s="74">
        <v>1</v>
      </c>
      <c r="C14" s="74">
        <v>11</v>
      </c>
      <c r="D14" s="74">
        <v>1</v>
      </c>
      <c r="E14" s="74">
        <v>4</v>
      </c>
      <c r="F14" s="74"/>
      <c r="G14" s="74"/>
      <c r="H14" s="74">
        <v>17</v>
      </c>
    </row>
    <row r="15" spans="1:8" x14ac:dyDescent="0.2">
      <c r="A15" s="72">
        <v>1993</v>
      </c>
      <c r="B15" s="74"/>
      <c r="C15" s="74">
        <v>8</v>
      </c>
      <c r="D15" s="74"/>
      <c r="E15" s="74">
        <v>6</v>
      </c>
      <c r="F15" s="74"/>
      <c r="G15" s="74"/>
      <c r="H15" s="74">
        <v>14</v>
      </c>
    </row>
    <row r="16" spans="1:8" x14ac:dyDescent="0.2">
      <c r="A16" s="72">
        <v>1994</v>
      </c>
      <c r="B16" s="74"/>
      <c r="C16" s="74">
        <v>8</v>
      </c>
      <c r="D16" s="74"/>
      <c r="E16" s="74">
        <v>5</v>
      </c>
      <c r="F16" s="74"/>
      <c r="G16" s="74"/>
      <c r="H16" s="74">
        <v>13</v>
      </c>
    </row>
    <row r="17" spans="1:8" x14ac:dyDescent="0.2">
      <c r="A17" s="72">
        <v>1995</v>
      </c>
      <c r="B17" s="74"/>
      <c r="C17" s="74">
        <v>9</v>
      </c>
      <c r="D17" s="74"/>
      <c r="E17" s="74">
        <v>5</v>
      </c>
      <c r="F17" s="74">
        <v>10</v>
      </c>
      <c r="G17" s="74"/>
      <c r="H17" s="74">
        <v>24</v>
      </c>
    </row>
    <row r="18" spans="1:8" x14ac:dyDescent="0.2">
      <c r="A18" s="72">
        <v>1996</v>
      </c>
      <c r="B18" s="74"/>
      <c r="C18" s="74">
        <v>11</v>
      </c>
      <c r="D18" s="74">
        <v>1</v>
      </c>
      <c r="E18" s="74">
        <v>7</v>
      </c>
      <c r="F18" s="74">
        <v>4</v>
      </c>
      <c r="G18" s="74"/>
      <c r="H18" s="74">
        <v>23</v>
      </c>
    </row>
    <row r="19" spans="1:8" x14ac:dyDescent="0.2">
      <c r="A19" s="72">
        <v>1997</v>
      </c>
      <c r="B19" s="74">
        <v>2</v>
      </c>
      <c r="C19" s="74">
        <v>14</v>
      </c>
      <c r="D19" s="74">
        <v>1</v>
      </c>
      <c r="E19" s="74">
        <v>7</v>
      </c>
      <c r="F19" s="74"/>
      <c r="G19" s="74"/>
      <c r="H19" s="74">
        <v>24</v>
      </c>
    </row>
    <row r="20" spans="1:8" x14ac:dyDescent="0.2">
      <c r="A20" s="72">
        <v>1998</v>
      </c>
      <c r="B20" s="74"/>
      <c r="C20" s="74">
        <v>13</v>
      </c>
      <c r="D20" s="74">
        <v>1</v>
      </c>
      <c r="E20" s="74">
        <v>5</v>
      </c>
      <c r="F20" s="74"/>
      <c r="G20" s="74"/>
      <c r="H20" s="74">
        <v>19</v>
      </c>
    </row>
    <row r="21" spans="1:8" x14ac:dyDescent="0.2">
      <c r="A21" s="72">
        <v>1999</v>
      </c>
      <c r="B21" s="74"/>
      <c r="C21" s="74">
        <v>12</v>
      </c>
      <c r="D21" s="74">
        <v>1</v>
      </c>
      <c r="E21" s="74">
        <v>3</v>
      </c>
      <c r="F21" s="74">
        <v>3</v>
      </c>
      <c r="G21" s="74"/>
      <c r="H21" s="74">
        <v>19</v>
      </c>
    </row>
    <row r="22" spans="1:8" x14ac:dyDescent="0.2">
      <c r="A22" s="72">
        <v>2000</v>
      </c>
      <c r="B22" s="74"/>
      <c r="C22" s="74">
        <v>15</v>
      </c>
      <c r="D22" s="74"/>
      <c r="E22" s="74">
        <v>3</v>
      </c>
      <c r="F22" s="74">
        <v>51</v>
      </c>
      <c r="G22" s="74"/>
      <c r="H22" s="74">
        <v>69</v>
      </c>
    </row>
    <row r="23" spans="1:8" x14ac:dyDescent="0.2">
      <c r="A23" s="72">
        <v>2001</v>
      </c>
      <c r="B23" s="74">
        <v>2</v>
      </c>
      <c r="C23" s="74">
        <v>6</v>
      </c>
      <c r="D23" s="74"/>
      <c r="E23" s="74">
        <v>6</v>
      </c>
      <c r="F23" s="74">
        <v>3</v>
      </c>
      <c r="G23" s="74">
        <v>1</v>
      </c>
      <c r="H23" s="74">
        <v>18</v>
      </c>
    </row>
    <row r="24" spans="1:8" x14ac:dyDescent="0.2">
      <c r="A24" s="72">
        <v>2002</v>
      </c>
      <c r="B24" s="74">
        <v>3</v>
      </c>
      <c r="C24" s="74">
        <v>9</v>
      </c>
      <c r="D24" s="74">
        <v>1</v>
      </c>
      <c r="E24" s="74">
        <v>5</v>
      </c>
      <c r="F24" s="74"/>
      <c r="G24" s="74">
        <v>5</v>
      </c>
      <c r="H24" s="74">
        <v>23</v>
      </c>
    </row>
    <row r="25" spans="1:8" x14ac:dyDescent="0.2">
      <c r="A25" s="72">
        <v>2003</v>
      </c>
      <c r="B25" s="74">
        <v>4</v>
      </c>
      <c r="C25" s="74">
        <v>14</v>
      </c>
      <c r="D25" s="74">
        <v>2</v>
      </c>
      <c r="E25" s="74">
        <v>11</v>
      </c>
      <c r="F25" s="74">
        <v>1</v>
      </c>
      <c r="G25" s="74">
        <v>1</v>
      </c>
      <c r="H25" s="74">
        <v>33</v>
      </c>
    </row>
    <row r="26" spans="1:8" x14ac:dyDescent="0.2">
      <c r="A26" s="72">
        <v>2004</v>
      </c>
      <c r="B26" s="74">
        <v>3</v>
      </c>
      <c r="C26" s="74">
        <v>12</v>
      </c>
      <c r="D26" s="74">
        <v>3</v>
      </c>
      <c r="E26" s="74">
        <v>6</v>
      </c>
      <c r="F26" s="74"/>
      <c r="G26" s="74">
        <v>1</v>
      </c>
      <c r="H26" s="74">
        <v>25</v>
      </c>
    </row>
    <row r="27" spans="1:8" x14ac:dyDescent="0.2">
      <c r="A27" s="72">
        <v>2005</v>
      </c>
      <c r="B27" s="74">
        <v>7</v>
      </c>
      <c r="C27" s="74">
        <v>18</v>
      </c>
      <c r="D27" s="74">
        <v>3</v>
      </c>
      <c r="E27" s="74">
        <v>2</v>
      </c>
      <c r="F27" s="74">
        <v>10</v>
      </c>
      <c r="G27" s="74"/>
      <c r="H27" s="74">
        <v>40</v>
      </c>
    </row>
    <row r="28" spans="1:8" x14ac:dyDescent="0.2">
      <c r="A28" s="72">
        <v>2006</v>
      </c>
      <c r="B28" s="74">
        <v>5</v>
      </c>
      <c r="C28" s="74">
        <v>15</v>
      </c>
      <c r="D28" s="74">
        <v>2</v>
      </c>
      <c r="E28" s="74">
        <v>6</v>
      </c>
      <c r="F28" s="74">
        <v>34</v>
      </c>
      <c r="G28" s="74">
        <v>1</v>
      </c>
      <c r="H28" s="74">
        <v>63</v>
      </c>
    </row>
    <row r="29" spans="1:8" x14ac:dyDescent="0.2">
      <c r="A29" s="72">
        <v>2007</v>
      </c>
      <c r="B29" s="74">
        <v>8</v>
      </c>
      <c r="C29" s="74">
        <v>15</v>
      </c>
      <c r="D29" s="74">
        <v>2</v>
      </c>
      <c r="E29" s="74">
        <v>6</v>
      </c>
      <c r="F29" s="74">
        <v>5</v>
      </c>
      <c r="G29" s="74">
        <v>1</v>
      </c>
      <c r="H29" s="74">
        <v>37</v>
      </c>
    </row>
    <row r="30" spans="1:8" x14ac:dyDescent="0.2">
      <c r="A30" s="72">
        <v>2008</v>
      </c>
      <c r="B30" s="74">
        <v>1</v>
      </c>
      <c r="C30" s="74">
        <v>12</v>
      </c>
      <c r="D30" s="74">
        <v>2</v>
      </c>
      <c r="E30" s="74">
        <v>5</v>
      </c>
      <c r="F30" s="74">
        <v>2</v>
      </c>
      <c r="G30" s="74"/>
      <c r="H30" s="74">
        <v>22</v>
      </c>
    </row>
    <row r="31" spans="1:8" x14ac:dyDescent="0.2">
      <c r="A31" s="72">
        <v>2009</v>
      </c>
      <c r="B31" s="74">
        <v>1</v>
      </c>
      <c r="C31" s="74">
        <v>12</v>
      </c>
      <c r="D31" s="74">
        <v>2</v>
      </c>
      <c r="E31" s="74">
        <v>3</v>
      </c>
      <c r="F31" s="74">
        <v>3</v>
      </c>
      <c r="G31" s="74"/>
      <c r="H31" s="74">
        <v>21</v>
      </c>
    </row>
    <row r="32" spans="1:8" x14ac:dyDescent="0.2">
      <c r="A32" s="72">
        <v>2010</v>
      </c>
      <c r="B32" s="74">
        <v>3</v>
      </c>
      <c r="C32" s="74">
        <v>16</v>
      </c>
      <c r="D32" s="74">
        <v>2</v>
      </c>
      <c r="E32" s="74">
        <v>8</v>
      </c>
      <c r="F32" s="74">
        <v>18</v>
      </c>
      <c r="G32" s="74"/>
      <c r="H32" s="74">
        <v>47</v>
      </c>
    </row>
    <row r="33" spans="1:8" x14ac:dyDescent="0.2">
      <c r="A33" s="72">
        <v>2011</v>
      </c>
      <c r="B33" s="74">
        <v>1</v>
      </c>
      <c r="C33" s="74">
        <v>17</v>
      </c>
      <c r="D33" s="74">
        <v>3</v>
      </c>
      <c r="E33" s="74">
        <v>2</v>
      </c>
      <c r="F33" s="74">
        <v>23</v>
      </c>
      <c r="G33" s="74"/>
      <c r="H33" s="74">
        <v>46</v>
      </c>
    </row>
    <row r="34" spans="1:8" x14ac:dyDescent="0.2">
      <c r="A34" s="72">
        <v>2012</v>
      </c>
      <c r="B34" s="74">
        <v>1</v>
      </c>
      <c r="C34" s="74">
        <v>21</v>
      </c>
      <c r="D34" s="74">
        <v>2</v>
      </c>
      <c r="E34" s="74">
        <v>2</v>
      </c>
      <c r="F34" s="74">
        <v>17</v>
      </c>
      <c r="G34" s="74"/>
      <c r="H34" s="74">
        <v>43</v>
      </c>
    </row>
    <row r="35" spans="1:8" x14ac:dyDescent="0.2">
      <c r="A35" s="72">
        <v>2013</v>
      </c>
      <c r="B35" s="74"/>
      <c r="C35" s="74">
        <v>18</v>
      </c>
      <c r="D35" s="74"/>
      <c r="E35" s="74">
        <v>1</v>
      </c>
      <c r="F35" s="74">
        <v>6</v>
      </c>
      <c r="G35" s="74"/>
      <c r="H35" s="74">
        <v>25</v>
      </c>
    </row>
    <row r="36" spans="1:8" x14ac:dyDescent="0.2">
      <c r="A36" s="72">
        <v>2014</v>
      </c>
      <c r="B36" s="74"/>
      <c r="C36" s="74"/>
      <c r="D36" s="74"/>
      <c r="E36" s="74"/>
      <c r="F36" s="74">
        <v>7</v>
      </c>
      <c r="G36" s="74"/>
      <c r="H36" s="74">
        <v>7</v>
      </c>
    </row>
    <row r="37" spans="1:8" x14ac:dyDescent="0.2">
      <c r="A37" s="72" t="s">
        <v>472</v>
      </c>
      <c r="B37" s="74">
        <v>42</v>
      </c>
      <c r="C37" s="74">
        <v>327</v>
      </c>
      <c r="D37" s="74">
        <v>29</v>
      </c>
      <c r="E37" s="74">
        <v>126</v>
      </c>
      <c r="F37" s="74">
        <v>197</v>
      </c>
      <c r="G37" s="74">
        <v>10</v>
      </c>
      <c r="H37" s="74">
        <v>731</v>
      </c>
    </row>
  </sheetData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20" zoomScale="91" zoomScaleNormal="91" zoomScalePageLayoutView="91" workbookViewId="0">
      <selection activeCell="H55" sqref="H55"/>
    </sheetView>
  </sheetViews>
  <sheetFormatPr baseColWidth="10" defaultColWidth="8.83203125" defaultRowHeight="16" x14ac:dyDescent="0.2"/>
  <cols>
    <col min="1" max="1" width="16" customWidth="1"/>
    <col min="2" max="2" width="15.5" customWidth="1"/>
    <col min="3" max="3" width="5.33203125" customWidth="1"/>
    <col min="4" max="4" width="10.6640625" customWidth="1"/>
    <col min="5" max="5" width="5.1640625" customWidth="1"/>
    <col min="6" max="8" width="10.6640625" customWidth="1"/>
    <col min="9" max="9" width="17.6640625" customWidth="1"/>
    <col min="10" max="10" width="5.83203125" customWidth="1"/>
    <col min="11" max="11" width="17.83203125" customWidth="1"/>
    <col min="12" max="12" width="15.83203125" customWidth="1"/>
    <col min="13" max="13" width="14.6640625" customWidth="1"/>
    <col min="14" max="14" width="18.5" customWidth="1"/>
    <col min="15" max="15" width="19.33203125" customWidth="1"/>
    <col min="16" max="16" width="6.33203125" customWidth="1"/>
    <col min="17" max="17" width="20.6640625" customWidth="1"/>
    <col min="18" max="18" width="8.83203125" customWidth="1"/>
    <col min="19" max="19" width="5.33203125" customWidth="1"/>
    <col min="20" max="20" width="7.6640625" customWidth="1"/>
    <col min="21" max="21" width="11.1640625" customWidth="1"/>
    <col min="22" max="22" width="7.1640625" customWidth="1"/>
    <col min="23" max="23" width="9" customWidth="1"/>
    <col min="24" max="24" width="9.1640625" customWidth="1"/>
    <col min="25" max="25" width="10.1640625" customWidth="1"/>
    <col min="26" max="26" width="20.6640625" customWidth="1"/>
    <col min="27" max="27" width="5" customWidth="1"/>
    <col min="28" max="28" width="5.5" customWidth="1"/>
    <col min="29" max="29" width="8.5" customWidth="1"/>
    <col min="30" max="30" width="8" customWidth="1"/>
    <col min="31" max="31" width="15.1640625" customWidth="1"/>
    <col min="32" max="32" width="29.6640625" customWidth="1"/>
    <col min="33" max="33" width="9.5" customWidth="1"/>
    <col min="34" max="34" width="11.1640625" customWidth="1"/>
    <col min="35" max="35" width="5" customWidth="1"/>
    <col min="36" max="36" width="7.1640625" customWidth="1"/>
    <col min="37" max="37" width="13.6640625" customWidth="1"/>
    <col min="38" max="38" width="7.33203125" customWidth="1"/>
    <col min="39" max="39" width="5.33203125" customWidth="1"/>
    <col min="40" max="40" width="9.6640625" customWidth="1"/>
    <col min="41" max="41" width="15.5" customWidth="1"/>
    <col min="42" max="42" width="6.1640625" customWidth="1"/>
    <col min="43" max="43" width="7.5" customWidth="1"/>
    <col min="44" max="44" width="6.1640625" customWidth="1"/>
    <col min="45" max="46" width="7.1640625" customWidth="1"/>
    <col min="47" max="47" width="6.1640625" customWidth="1"/>
    <col min="48" max="48" width="7.6640625" customWidth="1"/>
    <col min="49" max="49" width="9.6640625" customWidth="1"/>
    <col min="50" max="50" width="6.6640625" customWidth="1"/>
    <col min="51" max="51" width="12.6640625" customWidth="1"/>
    <col min="52" max="52" width="7" customWidth="1"/>
    <col min="53" max="53" width="4.6640625" customWidth="1"/>
    <col min="54" max="54" width="8.6640625" customWidth="1"/>
    <col min="55" max="55" width="4.83203125" customWidth="1"/>
    <col min="56" max="56" width="8.6640625" customWidth="1"/>
    <col min="57" max="57" width="4" customWidth="1"/>
    <col min="58" max="58" width="7.33203125" customWidth="1"/>
    <col min="59" max="59" width="6.1640625" customWidth="1"/>
    <col min="60" max="60" width="10" customWidth="1"/>
    <col min="61" max="61" width="5.6640625" customWidth="1"/>
    <col min="62" max="62" width="33.33203125" customWidth="1"/>
    <col min="63" max="63" width="9.5" customWidth="1"/>
    <col min="64" max="64" width="28.83203125" customWidth="1"/>
    <col min="65" max="65" width="7.6640625" customWidth="1"/>
    <col min="66" max="66" width="7.1640625" customWidth="1"/>
    <col min="67" max="67" width="6.33203125" customWidth="1"/>
    <col min="68" max="68" width="5.1640625" customWidth="1"/>
    <col min="69" max="69" width="9.83203125" customWidth="1"/>
    <col min="70" max="70" width="10.83203125" customWidth="1"/>
    <col min="71" max="71" width="6.83203125" customWidth="1"/>
    <col min="72" max="72" width="8.1640625" customWidth="1"/>
    <col min="73" max="73" width="4.5" customWidth="1"/>
    <col min="74" max="74" width="9.6640625" customWidth="1"/>
    <col min="75" max="75" width="6.6640625" customWidth="1"/>
    <col min="76" max="76" width="7.83203125" customWidth="1"/>
    <col min="77" max="77" width="8.5" customWidth="1"/>
    <col min="78" max="78" width="10.6640625" customWidth="1"/>
    <col min="79" max="79" width="7.83203125" customWidth="1"/>
    <col min="80" max="80" width="11.1640625" customWidth="1"/>
    <col min="81" max="81" width="8.5" customWidth="1"/>
    <col min="82" max="82" width="7.6640625" customWidth="1"/>
    <col min="83" max="83" width="5.6640625" customWidth="1"/>
    <col min="84" max="84" width="9.1640625" customWidth="1"/>
    <col min="85" max="85" width="5.1640625" customWidth="1"/>
    <col min="86" max="86" width="6.6640625" customWidth="1"/>
    <col min="87" max="87" width="25.83203125" customWidth="1"/>
    <col min="88" max="88" width="5.6640625" customWidth="1"/>
    <col min="89" max="89" width="7.6640625" customWidth="1"/>
    <col min="90" max="90" width="30.5" customWidth="1"/>
    <col min="91" max="91" width="7.33203125" customWidth="1"/>
    <col min="92" max="92" width="12.1640625" customWidth="1"/>
    <col min="93" max="93" width="8.33203125" customWidth="1"/>
    <col min="94" max="94" width="4.5" customWidth="1"/>
    <col min="95" max="95" width="9.6640625" customWidth="1"/>
    <col min="96" max="96" width="5.5" customWidth="1"/>
    <col min="97" max="97" width="8" customWidth="1"/>
    <col min="98" max="98" width="7.33203125" customWidth="1"/>
    <col min="99" max="99" width="6.6640625" customWidth="1"/>
    <col min="100" max="100" width="19.5" customWidth="1"/>
    <col min="101" max="101" width="7.1640625" customWidth="1"/>
    <col min="102" max="102" width="5.83203125" customWidth="1"/>
    <col min="103" max="103" width="10.83203125" customWidth="1"/>
    <col min="104" max="104" width="7.1640625" customWidth="1"/>
    <col min="105" max="106" width="10.6640625" customWidth="1"/>
    <col min="107" max="107" width="8.1640625" customWidth="1"/>
    <col min="108" max="108" width="7.6640625" customWidth="1"/>
    <col min="109" max="109" width="5.6640625" customWidth="1"/>
    <col min="110" max="110" width="8.33203125" customWidth="1"/>
    <col min="111" max="111" width="8.83203125" customWidth="1"/>
    <col min="112" max="112" width="17.6640625" customWidth="1"/>
    <col min="113" max="113" width="8.6640625" customWidth="1"/>
    <col min="114" max="114" width="8.1640625" customWidth="1"/>
    <col min="115" max="115" width="7.83203125" customWidth="1"/>
    <col min="116" max="116" width="10.5" customWidth="1"/>
    <col min="117" max="117" width="4.83203125" customWidth="1"/>
    <col min="118" max="118" width="17.6640625" customWidth="1"/>
    <col min="119" max="119" width="6.6640625" customWidth="1"/>
    <col min="120" max="120" width="6.1640625" customWidth="1"/>
    <col min="121" max="121" width="11.83203125" customWidth="1"/>
    <col min="122" max="123" width="7.1640625" customWidth="1"/>
    <col min="124" max="124" width="7.6640625" customWidth="1"/>
    <col min="125" max="125" width="9.6640625" customWidth="1"/>
    <col min="126" max="126" width="7.6640625" customWidth="1"/>
    <col min="127" max="127" width="9.1640625" customWidth="1"/>
    <col min="128" max="128" width="8.33203125" customWidth="1"/>
    <col min="129" max="129" width="6.33203125" customWidth="1"/>
    <col min="130" max="130" width="9.6640625" customWidth="1"/>
    <col min="131" max="131" width="6.83203125" customWidth="1"/>
    <col min="132" max="132" width="9.1640625" customWidth="1"/>
    <col min="133" max="133" width="21.6640625" customWidth="1"/>
    <col min="134" max="134" width="18.1640625" customWidth="1"/>
    <col min="135" max="135" width="10.33203125" customWidth="1"/>
    <col min="138" max="141" width="9" customWidth="1"/>
  </cols>
  <sheetData>
    <row r="1" spans="1:14" ht="17.25" customHeight="1" x14ac:dyDescent="0.2">
      <c r="A1" s="75" t="s">
        <v>182</v>
      </c>
      <c r="B1" t="s">
        <v>474</v>
      </c>
    </row>
    <row r="2" spans="1:14" ht="65.25" customHeight="1" x14ac:dyDescent="0.2">
      <c r="K2" s="91" t="s">
        <v>480</v>
      </c>
      <c r="L2" s="92" t="s">
        <v>481</v>
      </c>
      <c r="M2" s="92" t="s">
        <v>482</v>
      </c>
      <c r="N2" s="92" t="s">
        <v>483</v>
      </c>
    </row>
    <row r="3" spans="1:14" x14ac:dyDescent="0.2">
      <c r="A3" s="75" t="s">
        <v>470</v>
      </c>
      <c r="B3" s="75" t="s">
        <v>473</v>
      </c>
      <c r="J3">
        <v>1985</v>
      </c>
      <c r="K3">
        <v>3</v>
      </c>
      <c r="L3">
        <v>0</v>
      </c>
      <c r="M3">
        <v>0</v>
      </c>
      <c r="N3" s="109" t="s">
        <v>484</v>
      </c>
    </row>
    <row r="4" spans="1:14" x14ac:dyDescent="0.2">
      <c r="A4" s="75" t="s">
        <v>471</v>
      </c>
      <c r="B4" t="s">
        <v>281</v>
      </c>
      <c r="C4" t="s">
        <v>244</v>
      </c>
      <c r="D4" t="s">
        <v>472</v>
      </c>
      <c r="J4">
        <f>J3+1</f>
        <v>1986</v>
      </c>
      <c r="K4">
        <f>K3+6</f>
        <v>9</v>
      </c>
      <c r="L4">
        <f>L3+2</f>
        <v>2</v>
      </c>
      <c r="M4">
        <v>0</v>
      </c>
      <c r="N4" s="110"/>
    </row>
    <row r="5" spans="1:14" x14ac:dyDescent="0.2">
      <c r="A5" s="72">
        <v>1985</v>
      </c>
      <c r="B5" s="74">
        <v>1</v>
      </c>
      <c r="C5" s="74">
        <v>2</v>
      </c>
      <c r="D5" s="74">
        <v>3</v>
      </c>
      <c r="J5">
        <f t="shared" ref="J5:J32" si="0">J4+1</f>
        <v>1987</v>
      </c>
      <c r="K5">
        <f>K4+12</f>
        <v>21</v>
      </c>
      <c r="L5">
        <f>L4+0</f>
        <v>2</v>
      </c>
      <c r="M5">
        <v>0</v>
      </c>
      <c r="N5" s="110"/>
    </row>
    <row r="6" spans="1:14" x14ac:dyDescent="0.2">
      <c r="A6" s="77" t="s">
        <v>246</v>
      </c>
      <c r="B6" s="74"/>
      <c r="C6" s="74">
        <v>1</v>
      </c>
      <c r="D6" s="74">
        <v>1</v>
      </c>
      <c r="J6">
        <f t="shared" si="0"/>
        <v>1988</v>
      </c>
      <c r="K6">
        <f>K5+7</f>
        <v>28</v>
      </c>
      <c r="L6">
        <f>L5+2</f>
        <v>4</v>
      </c>
      <c r="M6">
        <v>0</v>
      </c>
      <c r="N6" s="110"/>
    </row>
    <row r="7" spans="1:14" x14ac:dyDescent="0.2">
      <c r="A7" s="77" t="s">
        <v>58</v>
      </c>
      <c r="B7" s="74">
        <v>1</v>
      </c>
      <c r="C7" s="74"/>
      <c r="D7" s="74">
        <v>1</v>
      </c>
      <c r="J7">
        <f t="shared" si="0"/>
        <v>1989</v>
      </c>
      <c r="K7">
        <f>K6+2</f>
        <v>30</v>
      </c>
      <c r="L7">
        <f>L6+1</f>
        <v>5</v>
      </c>
      <c r="M7">
        <v>0</v>
      </c>
      <c r="N7" s="110"/>
    </row>
    <row r="8" spans="1:14" x14ac:dyDescent="0.2">
      <c r="A8" s="77" t="s">
        <v>68</v>
      </c>
      <c r="B8" s="74"/>
      <c r="C8" s="74">
        <v>1</v>
      </c>
      <c r="D8" s="74">
        <v>1</v>
      </c>
      <c r="J8">
        <f t="shared" si="0"/>
        <v>1990</v>
      </c>
      <c r="K8">
        <f>+K7+3</f>
        <v>33</v>
      </c>
      <c r="L8">
        <f>L7+0</f>
        <v>5</v>
      </c>
      <c r="M8">
        <v>0</v>
      </c>
      <c r="N8" s="110"/>
    </row>
    <row r="9" spans="1:14" x14ac:dyDescent="0.2">
      <c r="A9" s="72" t="s">
        <v>472</v>
      </c>
      <c r="B9" s="74">
        <v>1</v>
      </c>
      <c r="C9" s="74">
        <v>2</v>
      </c>
      <c r="D9" s="74">
        <v>3</v>
      </c>
      <c r="J9">
        <f t="shared" si="0"/>
        <v>1991</v>
      </c>
      <c r="K9">
        <f>K8+4</f>
        <v>37</v>
      </c>
      <c r="L9">
        <f>L8+1</f>
        <v>6</v>
      </c>
      <c r="M9">
        <v>0</v>
      </c>
      <c r="N9" s="110"/>
    </row>
    <row r="10" spans="1:14" x14ac:dyDescent="0.2">
      <c r="J10">
        <f t="shared" si="0"/>
        <v>1992</v>
      </c>
      <c r="K10">
        <f>K9+9</f>
        <v>46</v>
      </c>
      <c r="L10">
        <f>L9+1</f>
        <v>7</v>
      </c>
      <c r="M10">
        <v>0</v>
      </c>
      <c r="N10" s="110"/>
    </row>
    <row r="11" spans="1:14" x14ac:dyDescent="0.2">
      <c r="J11">
        <f t="shared" si="0"/>
        <v>1993</v>
      </c>
      <c r="K11">
        <f>K10+7</f>
        <v>53</v>
      </c>
      <c r="L11">
        <f>L10+2</f>
        <v>9</v>
      </c>
      <c r="M11">
        <v>0</v>
      </c>
      <c r="N11" s="110"/>
    </row>
    <row r="12" spans="1:14" x14ac:dyDescent="0.2">
      <c r="J12">
        <f t="shared" si="0"/>
        <v>1994</v>
      </c>
      <c r="K12">
        <f>K11+4</f>
        <v>57</v>
      </c>
      <c r="L12">
        <f>L11+1</f>
        <v>10</v>
      </c>
      <c r="M12">
        <v>0</v>
      </c>
      <c r="N12" s="110"/>
    </row>
    <row r="13" spans="1:14" x14ac:dyDescent="0.2">
      <c r="J13">
        <f t="shared" si="0"/>
        <v>1995</v>
      </c>
      <c r="K13">
        <f>K12+9</f>
        <v>66</v>
      </c>
      <c r="L13">
        <f>L12+1</f>
        <v>11</v>
      </c>
      <c r="M13">
        <v>0</v>
      </c>
      <c r="N13" s="110"/>
    </row>
    <row r="14" spans="1:14" x14ac:dyDescent="0.2">
      <c r="J14">
        <f t="shared" si="0"/>
        <v>1996</v>
      </c>
      <c r="K14">
        <f>K13+8</f>
        <v>74</v>
      </c>
      <c r="L14">
        <f>L13+1</f>
        <v>12</v>
      </c>
      <c r="M14">
        <v>0</v>
      </c>
      <c r="N14" s="110"/>
    </row>
    <row r="15" spans="1:14" x14ac:dyDescent="0.2">
      <c r="J15">
        <f t="shared" si="0"/>
        <v>1997</v>
      </c>
      <c r="K15">
        <f>K14+2</f>
        <v>76</v>
      </c>
      <c r="L15">
        <f>L14+4</f>
        <v>16</v>
      </c>
      <c r="M15">
        <v>0</v>
      </c>
      <c r="N15" s="110"/>
    </row>
    <row r="16" spans="1:14" x14ac:dyDescent="0.2">
      <c r="J16">
        <f t="shared" si="0"/>
        <v>1998</v>
      </c>
      <c r="K16">
        <f>K15+1</f>
        <v>77</v>
      </c>
      <c r="L16">
        <f>L15+2</f>
        <v>18</v>
      </c>
      <c r="M16">
        <v>0</v>
      </c>
      <c r="N16" s="110"/>
    </row>
    <row r="17" spans="10:14" x14ac:dyDescent="0.2">
      <c r="J17">
        <f t="shared" si="0"/>
        <v>1999</v>
      </c>
      <c r="K17">
        <f>K16+3</f>
        <v>80</v>
      </c>
      <c r="L17">
        <f>L16+0</f>
        <v>18</v>
      </c>
      <c r="M17">
        <v>0</v>
      </c>
      <c r="N17" s="110"/>
    </row>
    <row r="18" spans="10:14" x14ac:dyDescent="0.2">
      <c r="J18">
        <f t="shared" si="0"/>
        <v>2000</v>
      </c>
      <c r="K18">
        <f>K17+24</f>
        <v>104</v>
      </c>
      <c r="L18">
        <f>L17+2</f>
        <v>20</v>
      </c>
      <c r="M18">
        <v>0</v>
      </c>
      <c r="N18" s="110"/>
    </row>
    <row r="19" spans="10:14" x14ac:dyDescent="0.2">
      <c r="J19">
        <f t="shared" si="0"/>
        <v>2001</v>
      </c>
      <c r="K19">
        <f>K18+2</f>
        <v>106</v>
      </c>
      <c r="L19">
        <f>L18+2</f>
        <v>22</v>
      </c>
      <c r="M19">
        <v>0</v>
      </c>
      <c r="N19" s="110"/>
    </row>
    <row r="20" spans="10:14" x14ac:dyDescent="0.2">
      <c r="J20">
        <f t="shared" si="0"/>
        <v>2002</v>
      </c>
      <c r="K20">
        <f>K19+2</f>
        <v>108</v>
      </c>
      <c r="L20">
        <f>L19+1</f>
        <v>23</v>
      </c>
      <c r="M20">
        <v>0</v>
      </c>
      <c r="N20" s="110"/>
    </row>
    <row r="21" spans="10:14" x14ac:dyDescent="0.2">
      <c r="J21">
        <f>J20+1</f>
        <v>2003</v>
      </c>
      <c r="K21">
        <f>K20+2</f>
        <v>110</v>
      </c>
      <c r="L21">
        <f>L20+4</f>
        <v>27</v>
      </c>
      <c r="M21">
        <v>0</v>
      </c>
      <c r="N21" s="110"/>
    </row>
    <row r="22" spans="10:14" x14ac:dyDescent="0.2">
      <c r="J22">
        <f t="shared" si="0"/>
        <v>2004</v>
      </c>
      <c r="K22">
        <f>K21+1</f>
        <v>111</v>
      </c>
      <c r="L22">
        <f>L21+1</f>
        <v>28</v>
      </c>
      <c r="M22">
        <v>1</v>
      </c>
      <c r="N22" s="110"/>
    </row>
    <row r="23" spans="10:14" x14ac:dyDescent="0.2">
      <c r="J23">
        <f t="shared" si="0"/>
        <v>2005</v>
      </c>
      <c r="K23">
        <f>K22+6</f>
        <v>117</v>
      </c>
      <c r="L23">
        <f>L22+2</f>
        <v>30</v>
      </c>
      <c r="M23">
        <v>1</v>
      </c>
      <c r="N23" s="110"/>
    </row>
    <row r="24" spans="10:14" x14ac:dyDescent="0.2">
      <c r="J24">
        <f t="shared" si="0"/>
        <v>2006</v>
      </c>
      <c r="K24">
        <f>K23+3</f>
        <v>120</v>
      </c>
      <c r="L24">
        <f>L23+5</f>
        <v>35</v>
      </c>
      <c r="M24">
        <v>1</v>
      </c>
      <c r="N24" s="110"/>
    </row>
    <row r="25" spans="10:14" x14ac:dyDescent="0.2">
      <c r="J25">
        <f t="shared" si="0"/>
        <v>2007</v>
      </c>
      <c r="K25">
        <f>K24+2</f>
        <v>122</v>
      </c>
      <c r="L25">
        <f>L24+5</f>
        <v>40</v>
      </c>
      <c r="M25">
        <v>1</v>
      </c>
      <c r="N25" s="110"/>
    </row>
    <row r="26" spans="10:14" x14ac:dyDescent="0.2">
      <c r="J26">
        <f t="shared" si="0"/>
        <v>2008</v>
      </c>
      <c r="K26">
        <f>K25+0</f>
        <v>122</v>
      </c>
      <c r="L26">
        <f>L25+2</f>
        <v>42</v>
      </c>
      <c r="M26">
        <v>1</v>
      </c>
      <c r="N26" s="110"/>
    </row>
    <row r="27" spans="10:14" x14ac:dyDescent="0.2">
      <c r="J27">
        <f t="shared" si="0"/>
        <v>2009</v>
      </c>
      <c r="K27">
        <f>K26+2</f>
        <v>124</v>
      </c>
      <c r="L27">
        <f>L26+1</f>
        <v>43</v>
      </c>
      <c r="M27">
        <v>1</v>
      </c>
      <c r="N27" s="110"/>
    </row>
    <row r="28" spans="10:14" x14ac:dyDescent="0.2">
      <c r="J28">
        <f t="shared" si="0"/>
        <v>2010</v>
      </c>
      <c r="K28">
        <f>K27+1</f>
        <v>125</v>
      </c>
      <c r="L28">
        <f>L27+5</f>
        <v>48</v>
      </c>
      <c r="M28">
        <v>2</v>
      </c>
      <c r="N28" s="110"/>
    </row>
    <row r="29" spans="10:14" ht="16.5" customHeight="1" x14ac:dyDescent="0.2">
      <c r="J29">
        <f t="shared" si="0"/>
        <v>2011</v>
      </c>
      <c r="K29">
        <f>K28+1</f>
        <v>126</v>
      </c>
      <c r="L29">
        <f>L28+4</f>
        <v>52</v>
      </c>
      <c r="M29">
        <v>3</v>
      </c>
      <c r="N29" s="110"/>
    </row>
    <row r="30" spans="10:14" x14ac:dyDescent="0.2">
      <c r="J30">
        <f t="shared" si="0"/>
        <v>2012</v>
      </c>
      <c r="K30">
        <f>K29+4</f>
        <v>130</v>
      </c>
      <c r="L30">
        <f>L29+5</f>
        <v>57</v>
      </c>
      <c r="M30">
        <v>3</v>
      </c>
      <c r="N30" s="110"/>
    </row>
    <row r="31" spans="10:14" x14ac:dyDescent="0.2">
      <c r="J31">
        <f t="shared" si="0"/>
        <v>2013</v>
      </c>
      <c r="K31">
        <f>K30+0</f>
        <v>130</v>
      </c>
      <c r="L31">
        <f>L30+3</f>
        <v>60</v>
      </c>
      <c r="M31">
        <v>3</v>
      </c>
      <c r="N31" s="110"/>
    </row>
    <row r="32" spans="10:14" x14ac:dyDescent="0.2">
      <c r="J32">
        <f t="shared" si="0"/>
        <v>2014</v>
      </c>
      <c r="K32" s="40">
        <f>K31+2</f>
        <v>132</v>
      </c>
      <c r="L32">
        <f>L31+0</f>
        <v>60</v>
      </c>
      <c r="M32">
        <v>3</v>
      </c>
      <c r="N32" s="110"/>
    </row>
    <row r="36" spans="11:11" x14ac:dyDescent="0.2">
      <c r="K36">
        <f>132-60+60*2-3+3*3</f>
        <v>198</v>
      </c>
    </row>
  </sheetData>
  <mergeCells count="1">
    <mergeCell ref="N3:N32"/>
  </mergeCell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Q1280"/>
  <sheetViews>
    <sheetView tabSelected="1" zoomScale="81" zoomScaleNormal="81" zoomScalePageLayoutView="81" workbookViewId="0">
      <pane ySplit="7" topLeftCell="A740" activePane="bottomLeft" state="frozen"/>
      <selection pane="bottomLeft" activeCell="M752" sqref="M752"/>
    </sheetView>
  </sheetViews>
  <sheetFormatPr baseColWidth="10" defaultColWidth="11" defaultRowHeight="16" x14ac:dyDescent="0.2"/>
  <cols>
    <col min="1" max="1" width="5.33203125" customWidth="1"/>
    <col min="3" max="3" width="14.33203125" customWidth="1"/>
    <col min="4" max="4" width="12.6640625" customWidth="1"/>
    <col min="5" max="5" width="27.83203125" style="72" customWidth="1"/>
    <col min="8" max="8" width="11" style="40"/>
    <col min="14" max="16" width="11" style="93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t="48" x14ac:dyDescent="0.2">
      <c r="B7" s="15" t="s">
        <v>0</v>
      </c>
      <c r="C7" s="15" t="s">
        <v>3</v>
      </c>
      <c r="D7" s="15" t="s">
        <v>311</v>
      </c>
      <c r="E7" s="15" t="s">
        <v>241</v>
      </c>
      <c r="F7" s="15" t="s">
        <v>180</v>
      </c>
      <c r="G7" s="15" t="s">
        <v>182</v>
      </c>
      <c r="H7" s="24" t="s">
        <v>147</v>
      </c>
      <c r="I7" s="24" t="s">
        <v>245</v>
      </c>
      <c r="J7" s="15" t="s">
        <v>188</v>
      </c>
      <c r="K7" s="15" t="s">
        <v>181</v>
      </c>
      <c r="L7" t="s">
        <v>312</v>
      </c>
      <c r="M7" t="s">
        <v>313</v>
      </c>
      <c r="N7" s="93">
        <v>1</v>
      </c>
      <c r="O7" s="93">
        <v>2</v>
      </c>
      <c r="P7" s="93">
        <v>3</v>
      </c>
      <c r="Q7">
        <v>4</v>
      </c>
    </row>
    <row r="8" spans="1:17" ht="15.75" customHeight="1" x14ac:dyDescent="0.2">
      <c r="A8">
        <f>IF(B8=B9,1,0)</f>
        <v>1</v>
      </c>
      <c r="B8" t="s">
        <v>171</v>
      </c>
      <c r="C8" t="s">
        <v>87</v>
      </c>
      <c r="D8" t="s">
        <v>151</v>
      </c>
      <c r="E8">
        <v>2</v>
      </c>
      <c r="F8">
        <v>2000</v>
      </c>
      <c r="G8">
        <v>1</v>
      </c>
      <c r="H8">
        <v>1</v>
      </c>
      <c r="I8" t="str">
        <f t="shared" ref="I8:I13" si="0">IF(H8=1,B8,"")</f>
        <v>Afghanistan</v>
      </c>
      <c r="K8">
        <v>2000</v>
      </c>
      <c r="L8">
        <v>4</v>
      </c>
      <c r="M8">
        <v>1</v>
      </c>
      <c r="N8" s="93">
        <v>2000</v>
      </c>
      <c r="O8" s="93">
        <v>2003</v>
      </c>
      <c r="P8" s="93">
        <v>2010</v>
      </c>
    </row>
    <row r="9" spans="1:17" ht="15.75" customHeight="1" x14ac:dyDescent="0.2">
      <c r="A9">
        <f t="shared" ref="A9:A72" si="1">IF(B9=B10,1,0)</f>
        <v>1</v>
      </c>
      <c r="B9" t="s">
        <v>171</v>
      </c>
      <c r="C9" t="s">
        <v>87</v>
      </c>
      <c r="D9" t="s">
        <v>151</v>
      </c>
      <c r="E9">
        <v>2</v>
      </c>
      <c r="F9">
        <v>2003</v>
      </c>
      <c r="G9">
        <v>1</v>
      </c>
      <c r="H9">
        <v>0</v>
      </c>
      <c r="I9" t="str">
        <f t="shared" si="0"/>
        <v/>
      </c>
      <c r="K9">
        <v>2003</v>
      </c>
      <c r="L9">
        <v>3</v>
      </c>
      <c r="M9">
        <v>0</v>
      </c>
    </row>
    <row r="10" spans="1:17" ht="15.75" customHeight="1" x14ac:dyDescent="0.2">
      <c r="A10">
        <f t="shared" si="1"/>
        <v>1</v>
      </c>
      <c r="B10" t="s">
        <v>171</v>
      </c>
      <c r="C10" t="s">
        <v>87</v>
      </c>
      <c r="D10" t="s">
        <v>281</v>
      </c>
      <c r="E10" t="s">
        <v>251</v>
      </c>
      <c r="F10">
        <v>2010</v>
      </c>
      <c r="G10">
        <v>1</v>
      </c>
      <c r="H10">
        <v>1</v>
      </c>
      <c r="I10" t="str">
        <f t="shared" si="0"/>
        <v>Afghanistan</v>
      </c>
      <c r="L10">
        <v>2</v>
      </c>
      <c r="M10">
        <v>0</v>
      </c>
    </row>
    <row r="11" spans="1:17" ht="15.75" customHeight="1" x14ac:dyDescent="0.2">
      <c r="A11">
        <f t="shared" si="1"/>
        <v>0</v>
      </c>
      <c r="B11" t="s">
        <v>171</v>
      </c>
      <c r="C11" t="s">
        <v>87</v>
      </c>
      <c r="D11" t="s">
        <v>151</v>
      </c>
      <c r="E11">
        <v>4</v>
      </c>
      <c r="F11">
        <v>2011</v>
      </c>
      <c r="G11">
        <v>1</v>
      </c>
      <c r="H11">
        <v>0</v>
      </c>
      <c r="I11" t="str">
        <f t="shared" si="0"/>
        <v/>
      </c>
      <c r="K11">
        <v>2010</v>
      </c>
      <c r="L11">
        <v>1</v>
      </c>
      <c r="M11">
        <v>0</v>
      </c>
    </row>
    <row r="12" spans="1:17" ht="15.75" customHeight="1" x14ac:dyDescent="0.2">
      <c r="A12">
        <f t="shared" si="1"/>
        <v>1</v>
      </c>
      <c r="B12" t="s">
        <v>20</v>
      </c>
      <c r="C12" t="s">
        <v>19</v>
      </c>
      <c r="D12" t="s">
        <v>244</v>
      </c>
      <c r="E12" t="s">
        <v>202</v>
      </c>
      <c r="F12">
        <v>1996</v>
      </c>
      <c r="G12">
        <v>1</v>
      </c>
      <c r="H12">
        <v>1</v>
      </c>
      <c r="I12" t="str">
        <f t="shared" si="0"/>
        <v>Albania</v>
      </c>
      <c r="L12">
        <v>10</v>
      </c>
      <c r="M12">
        <v>1</v>
      </c>
      <c r="N12" s="93">
        <v>1996</v>
      </c>
      <c r="O12" s="93">
        <v>2000</v>
      </c>
      <c r="P12" s="93">
        <v>2002</v>
      </c>
    </row>
    <row r="13" spans="1:17" ht="15.75" customHeight="1" x14ac:dyDescent="0.2">
      <c r="A13">
        <f t="shared" si="1"/>
        <v>1</v>
      </c>
      <c r="B13" t="s">
        <v>20</v>
      </c>
      <c r="C13" t="s">
        <v>19</v>
      </c>
      <c r="D13" t="s">
        <v>151</v>
      </c>
      <c r="E13">
        <v>2</v>
      </c>
      <c r="F13">
        <v>2000</v>
      </c>
      <c r="G13">
        <v>1</v>
      </c>
      <c r="H13">
        <v>1</v>
      </c>
      <c r="I13" t="str">
        <f t="shared" si="0"/>
        <v>Albania</v>
      </c>
      <c r="K13">
        <v>2000</v>
      </c>
      <c r="L13">
        <v>9</v>
      </c>
      <c r="M13">
        <v>0</v>
      </c>
    </row>
    <row r="14" spans="1:17" ht="15.75" customHeight="1" x14ac:dyDescent="0.2">
      <c r="A14">
        <f t="shared" si="1"/>
        <v>1</v>
      </c>
      <c r="B14" t="s">
        <v>20</v>
      </c>
      <c r="C14" t="s">
        <v>19</v>
      </c>
      <c r="D14" t="s">
        <v>244</v>
      </c>
      <c r="E14" t="s">
        <v>203</v>
      </c>
      <c r="F14">
        <v>2002</v>
      </c>
      <c r="G14">
        <v>1</v>
      </c>
      <c r="H14">
        <v>0</v>
      </c>
      <c r="L14">
        <v>8</v>
      </c>
      <c r="M14">
        <v>0</v>
      </c>
    </row>
    <row r="15" spans="1:17" ht="15.75" customHeight="1" x14ac:dyDescent="0.2">
      <c r="A15">
        <f t="shared" si="1"/>
        <v>1</v>
      </c>
      <c r="B15" t="s">
        <v>20</v>
      </c>
      <c r="C15" t="s">
        <v>19</v>
      </c>
      <c r="D15" t="s">
        <v>244</v>
      </c>
      <c r="E15" t="s">
        <v>204</v>
      </c>
      <c r="F15">
        <v>2003</v>
      </c>
      <c r="G15">
        <v>1</v>
      </c>
      <c r="H15">
        <v>0</v>
      </c>
      <c r="L15">
        <v>7</v>
      </c>
      <c r="M15">
        <v>0</v>
      </c>
    </row>
    <row r="16" spans="1:17" ht="15.75" customHeight="1" x14ac:dyDescent="0.2">
      <c r="A16">
        <f t="shared" si="1"/>
        <v>1</v>
      </c>
      <c r="B16" t="s">
        <v>20</v>
      </c>
      <c r="C16" t="s">
        <v>19</v>
      </c>
      <c r="D16" t="s">
        <v>244</v>
      </c>
      <c r="E16" t="s">
        <v>205</v>
      </c>
      <c r="F16">
        <v>2004</v>
      </c>
      <c r="G16">
        <v>1</v>
      </c>
      <c r="H16">
        <v>0</v>
      </c>
      <c r="L16">
        <v>6</v>
      </c>
      <c r="M16">
        <v>0</v>
      </c>
    </row>
    <row r="17" spans="1:16" x14ac:dyDescent="0.2">
      <c r="A17">
        <f t="shared" si="1"/>
        <v>1</v>
      </c>
      <c r="B17" t="s">
        <v>20</v>
      </c>
      <c r="C17" t="s">
        <v>19</v>
      </c>
      <c r="D17" t="s">
        <v>244</v>
      </c>
      <c r="E17" t="s">
        <v>203</v>
      </c>
      <c r="F17">
        <v>2005</v>
      </c>
      <c r="G17">
        <v>1</v>
      </c>
      <c r="H17">
        <v>0</v>
      </c>
      <c r="L17">
        <v>5</v>
      </c>
      <c r="M17">
        <v>0</v>
      </c>
    </row>
    <row r="18" spans="1:16" x14ac:dyDescent="0.2">
      <c r="A18">
        <f t="shared" si="1"/>
        <v>1</v>
      </c>
      <c r="B18" t="s">
        <v>20</v>
      </c>
      <c r="C18" t="s">
        <v>19</v>
      </c>
      <c r="D18" t="s">
        <v>151</v>
      </c>
      <c r="E18">
        <v>3</v>
      </c>
      <c r="F18">
        <v>2005</v>
      </c>
      <c r="G18">
        <v>1</v>
      </c>
      <c r="H18">
        <v>0</v>
      </c>
      <c r="I18" t="str">
        <f>IF(H18=1,B18,"")</f>
        <v/>
      </c>
      <c r="K18">
        <v>2005</v>
      </c>
      <c r="L18">
        <v>4</v>
      </c>
      <c r="M18">
        <v>0</v>
      </c>
    </row>
    <row r="19" spans="1:16" ht="15.75" customHeight="1" x14ac:dyDescent="0.2">
      <c r="A19">
        <f t="shared" si="1"/>
        <v>1</v>
      </c>
      <c r="B19" t="s">
        <v>20</v>
      </c>
      <c r="C19" t="s">
        <v>19</v>
      </c>
      <c r="D19" t="s">
        <v>281</v>
      </c>
      <c r="E19" t="s">
        <v>251</v>
      </c>
      <c r="F19">
        <v>2008</v>
      </c>
      <c r="G19">
        <v>1</v>
      </c>
      <c r="H19">
        <v>1</v>
      </c>
      <c r="I19" t="str">
        <f>IF(H19=1,B19,"")</f>
        <v>Albania</v>
      </c>
      <c r="L19">
        <v>3</v>
      </c>
      <c r="M19">
        <v>0</v>
      </c>
    </row>
    <row r="20" spans="1:16" ht="15.75" customHeight="1" x14ac:dyDescent="0.2">
      <c r="A20">
        <f t="shared" si="1"/>
        <v>1</v>
      </c>
      <c r="B20" t="s">
        <v>20</v>
      </c>
      <c r="C20" t="s">
        <v>19</v>
      </c>
      <c r="D20" t="s">
        <v>244</v>
      </c>
      <c r="E20" t="s">
        <v>203</v>
      </c>
      <c r="F20">
        <v>2008</v>
      </c>
      <c r="G20">
        <v>1</v>
      </c>
      <c r="H20">
        <v>0</v>
      </c>
      <c r="L20">
        <v>2</v>
      </c>
      <c r="M20">
        <v>0</v>
      </c>
    </row>
    <row r="21" spans="1:16" x14ac:dyDescent="0.2">
      <c r="A21">
        <f t="shared" si="1"/>
        <v>0</v>
      </c>
      <c r="B21" t="s">
        <v>20</v>
      </c>
      <c r="C21" t="s">
        <v>19</v>
      </c>
      <c r="D21" t="s">
        <v>244</v>
      </c>
      <c r="E21" t="s">
        <v>203</v>
      </c>
      <c r="F21">
        <v>2012</v>
      </c>
      <c r="G21">
        <v>1</v>
      </c>
      <c r="H21">
        <v>0</v>
      </c>
      <c r="K21">
        <v>2012</v>
      </c>
      <c r="L21">
        <v>1</v>
      </c>
      <c r="M21">
        <v>0</v>
      </c>
    </row>
    <row r="22" spans="1:16" ht="15.75" customHeight="1" x14ac:dyDescent="0.2">
      <c r="A22">
        <f t="shared" si="1"/>
        <v>1</v>
      </c>
      <c r="B22" t="s">
        <v>75</v>
      </c>
      <c r="C22" t="s">
        <v>468</v>
      </c>
      <c r="D22" t="s">
        <v>151</v>
      </c>
      <c r="E22">
        <v>1</v>
      </c>
      <c r="F22">
        <v>1995</v>
      </c>
      <c r="G22">
        <v>1</v>
      </c>
      <c r="H22">
        <v>1</v>
      </c>
      <c r="I22" t="str">
        <f>IF(H22=1,B22,"")</f>
        <v>Algeria</v>
      </c>
      <c r="K22">
        <v>1995</v>
      </c>
      <c r="L22">
        <v>5</v>
      </c>
      <c r="M22">
        <v>1</v>
      </c>
      <c r="N22" s="93">
        <v>1995</v>
      </c>
      <c r="O22" s="93">
        <v>2000</v>
      </c>
      <c r="P22" s="93">
        <v>2002</v>
      </c>
    </row>
    <row r="23" spans="1:16" ht="15.75" customHeight="1" x14ac:dyDescent="0.2">
      <c r="A23">
        <f t="shared" si="1"/>
        <v>1</v>
      </c>
      <c r="B23" t="s">
        <v>75</v>
      </c>
      <c r="C23" t="s">
        <v>468</v>
      </c>
      <c r="D23" t="s">
        <v>151</v>
      </c>
      <c r="E23">
        <v>2</v>
      </c>
      <c r="F23">
        <v>2000</v>
      </c>
      <c r="G23">
        <v>1</v>
      </c>
      <c r="H23">
        <v>0</v>
      </c>
      <c r="I23" t="str">
        <f>IF(H23=1,B23,"")</f>
        <v/>
      </c>
      <c r="K23">
        <v>2000</v>
      </c>
      <c r="L23">
        <v>4</v>
      </c>
      <c r="M23">
        <v>0</v>
      </c>
    </row>
    <row r="24" spans="1:16" ht="15.75" customHeight="1" x14ac:dyDescent="0.2">
      <c r="A24">
        <f t="shared" si="1"/>
        <v>1</v>
      </c>
      <c r="B24" t="s">
        <v>75</v>
      </c>
      <c r="C24" t="s">
        <v>468</v>
      </c>
      <c r="D24" t="s">
        <v>380</v>
      </c>
      <c r="E24" t="s">
        <v>324</v>
      </c>
      <c r="F24">
        <v>2002</v>
      </c>
      <c r="G24">
        <v>1</v>
      </c>
      <c r="H24">
        <v>1</v>
      </c>
      <c r="I24" t="str">
        <f>IF(H24=1,B24,"")</f>
        <v>Algeria</v>
      </c>
      <c r="K24">
        <v>2002</v>
      </c>
      <c r="L24">
        <v>4</v>
      </c>
      <c r="M24">
        <v>0</v>
      </c>
    </row>
    <row r="25" spans="1:16" ht="15.75" customHeight="1" x14ac:dyDescent="0.2">
      <c r="A25">
        <f t="shared" si="1"/>
        <v>1</v>
      </c>
      <c r="B25" t="s">
        <v>75</v>
      </c>
      <c r="C25" t="s">
        <v>468</v>
      </c>
      <c r="D25" t="s">
        <v>151</v>
      </c>
      <c r="E25">
        <v>3</v>
      </c>
      <c r="F25">
        <v>2006</v>
      </c>
      <c r="G25">
        <v>1</v>
      </c>
      <c r="H25">
        <v>0</v>
      </c>
      <c r="I25" t="str">
        <f>IF(H25=1,B25,"")</f>
        <v/>
      </c>
      <c r="K25">
        <v>2006</v>
      </c>
      <c r="L25">
        <v>3</v>
      </c>
      <c r="M25">
        <v>0</v>
      </c>
    </row>
    <row r="26" spans="1:16" ht="15.75" customHeight="1" x14ac:dyDescent="0.2">
      <c r="A26">
        <f t="shared" si="1"/>
        <v>1</v>
      </c>
      <c r="B26" t="s">
        <v>75</v>
      </c>
      <c r="C26" t="s">
        <v>468</v>
      </c>
      <c r="D26" t="s">
        <v>151</v>
      </c>
      <c r="E26">
        <v>4</v>
      </c>
      <c r="F26">
        <v>2012</v>
      </c>
      <c r="G26">
        <v>1</v>
      </c>
      <c r="H26">
        <v>0</v>
      </c>
      <c r="L26">
        <v>2</v>
      </c>
      <c r="M26">
        <v>0</v>
      </c>
    </row>
    <row r="27" spans="1:16" x14ac:dyDescent="0.2">
      <c r="A27">
        <f t="shared" si="1"/>
        <v>0</v>
      </c>
      <c r="B27" s="97" t="s">
        <v>75</v>
      </c>
      <c r="C27" s="97" t="s">
        <v>74</v>
      </c>
      <c r="D27" s="98" t="s">
        <v>151</v>
      </c>
      <c r="E27" s="104"/>
      <c r="F27" s="98">
        <v>2013</v>
      </c>
      <c r="G27" s="98">
        <v>1</v>
      </c>
      <c r="H27" s="98">
        <v>0</v>
      </c>
      <c r="I27" s="97"/>
      <c r="J27" s="97"/>
      <c r="K27" s="98">
        <v>2012</v>
      </c>
      <c r="L27" s="97">
        <v>1</v>
      </c>
      <c r="M27">
        <v>0</v>
      </c>
      <c r="N27" s="93">
        <v>1996</v>
      </c>
      <c r="O27" s="93">
        <v>2001</v>
      </c>
      <c r="P27" s="93">
        <v>2005</v>
      </c>
    </row>
    <row r="28" spans="1:16" ht="15.75" customHeight="1" x14ac:dyDescent="0.2">
      <c r="A28">
        <f t="shared" si="1"/>
        <v>1</v>
      </c>
      <c r="B28" t="s">
        <v>94</v>
      </c>
      <c r="C28" t="s">
        <v>95</v>
      </c>
      <c r="D28" t="s">
        <v>151</v>
      </c>
      <c r="E28">
        <v>1</v>
      </c>
      <c r="F28">
        <v>1996</v>
      </c>
      <c r="G28">
        <v>1</v>
      </c>
      <c r="H28">
        <v>1</v>
      </c>
      <c r="I28" t="str">
        <f>IF(H28=1,B28,"")</f>
        <v>Angola</v>
      </c>
      <c r="K28">
        <v>1996</v>
      </c>
      <c r="L28">
        <v>5</v>
      </c>
      <c r="M28">
        <v>1</v>
      </c>
    </row>
    <row r="29" spans="1:16" ht="15.75" customHeight="1" x14ac:dyDescent="0.2">
      <c r="A29">
        <f t="shared" si="1"/>
        <v>1</v>
      </c>
      <c r="B29" t="s">
        <v>94</v>
      </c>
      <c r="C29" t="s">
        <v>95</v>
      </c>
      <c r="D29" t="s">
        <v>151</v>
      </c>
      <c r="E29">
        <v>2</v>
      </c>
      <c r="F29">
        <v>2001</v>
      </c>
      <c r="G29">
        <v>1</v>
      </c>
      <c r="H29">
        <v>0</v>
      </c>
      <c r="I29" t="str">
        <f>IF(H29=1,B29,"")</f>
        <v/>
      </c>
      <c r="K29">
        <v>2001</v>
      </c>
      <c r="L29">
        <v>4</v>
      </c>
      <c r="M29">
        <v>0</v>
      </c>
    </row>
    <row r="30" spans="1:16" ht="15.75" customHeight="1" x14ac:dyDescent="0.2">
      <c r="A30">
        <f t="shared" si="1"/>
        <v>1</v>
      </c>
      <c r="B30" t="s">
        <v>94</v>
      </c>
      <c r="C30" t="s">
        <v>95</v>
      </c>
      <c r="D30" t="s">
        <v>304</v>
      </c>
      <c r="E30" t="s">
        <v>424</v>
      </c>
      <c r="F30">
        <v>2005</v>
      </c>
      <c r="G30">
        <v>1</v>
      </c>
      <c r="H30">
        <v>1</v>
      </c>
      <c r="I30" t="str">
        <f>IF(H30=1,B30,"")</f>
        <v>Angola</v>
      </c>
      <c r="K30">
        <v>2005</v>
      </c>
      <c r="L30">
        <v>3</v>
      </c>
      <c r="M30">
        <v>0</v>
      </c>
    </row>
    <row r="31" spans="1:16" ht="15.75" customHeight="1" x14ac:dyDescent="0.2">
      <c r="A31">
        <f t="shared" si="1"/>
        <v>1</v>
      </c>
      <c r="B31" t="s">
        <v>94</v>
      </c>
      <c r="C31" t="s">
        <v>95</v>
      </c>
      <c r="D31" t="s">
        <v>281</v>
      </c>
      <c r="E31" t="s">
        <v>251</v>
      </c>
      <c r="F31">
        <v>2006</v>
      </c>
      <c r="G31">
        <v>1</v>
      </c>
      <c r="H31">
        <v>1</v>
      </c>
      <c r="I31" t="str">
        <f>IF(H31=1,B31,"")</f>
        <v>Angola</v>
      </c>
      <c r="L31">
        <v>2</v>
      </c>
      <c r="M31">
        <v>0</v>
      </c>
    </row>
    <row r="32" spans="1:16" ht="15.75" customHeight="1" x14ac:dyDescent="0.2">
      <c r="A32">
        <f t="shared" si="1"/>
        <v>0</v>
      </c>
      <c r="B32" t="s">
        <v>94</v>
      </c>
      <c r="C32" t="s">
        <v>95</v>
      </c>
      <c r="D32" t="s">
        <v>281</v>
      </c>
      <c r="E32" t="s">
        <v>268</v>
      </c>
      <c r="F32">
        <v>2011</v>
      </c>
      <c r="G32">
        <v>1</v>
      </c>
      <c r="H32">
        <v>0</v>
      </c>
      <c r="L32">
        <v>1</v>
      </c>
      <c r="M32">
        <v>0</v>
      </c>
      <c r="N32" s="93">
        <v>2006</v>
      </c>
    </row>
    <row r="33" spans="1:16" ht="15.75" customHeight="1" x14ac:dyDescent="0.2">
      <c r="A33">
        <f t="shared" si="1"/>
        <v>0</v>
      </c>
      <c r="B33" t="s">
        <v>381</v>
      </c>
      <c r="C33" t="s">
        <v>469</v>
      </c>
      <c r="D33" t="s">
        <v>244</v>
      </c>
      <c r="E33" t="s">
        <v>383</v>
      </c>
      <c r="F33">
        <v>2006</v>
      </c>
      <c r="G33">
        <v>1</v>
      </c>
      <c r="H33">
        <v>1</v>
      </c>
      <c r="I33" t="str">
        <f t="shared" ref="I33:I39" si="2">IF(H33=1,B33,"")</f>
        <v>Antigua and Barbuda</v>
      </c>
      <c r="K33">
        <v>2005</v>
      </c>
      <c r="L33">
        <v>1</v>
      </c>
      <c r="M33">
        <v>1</v>
      </c>
      <c r="N33" s="93">
        <v>2012</v>
      </c>
    </row>
    <row r="34" spans="1:16" x14ac:dyDescent="0.2">
      <c r="A34">
        <f t="shared" si="1"/>
        <v>0</v>
      </c>
      <c r="B34" t="s">
        <v>48</v>
      </c>
      <c r="C34" t="s">
        <v>469</v>
      </c>
      <c r="D34" t="s">
        <v>151</v>
      </c>
      <c r="E34">
        <v>4</v>
      </c>
      <c r="F34">
        <v>2012</v>
      </c>
      <c r="G34">
        <v>1</v>
      </c>
      <c r="H34">
        <v>1</v>
      </c>
      <c r="I34" t="str">
        <f t="shared" si="2"/>
        <v>Argentina</v>
      </c>
      <c r="L34">
        <v>1</v>
      </c>
      <c r="M34">
        <v>1</v>
      </c>
      <c r="N34" s="93">
        <v>1996</v>
      </c>
      <c r="O34" s="93">
        <v>1999</v>
      </c>
      <c r="P34" s="93">
        <v>2000</v>
      </c>
    </row>
    <row r="35" spans="1:16" ht="15.75" customHeight="1" x14ac:dyDescent="0.2">
      <c r="A35">
        <f t="shared" si="1"/>
        <v>1</v>
      </c>
      <c r="B35" t="s">
        <v>21</v>
      </c>
      <c r="C35" t="s">
        <v>19</v>
      </c>
      <c r="D35" t="s">
        <v>244</v>
      </c>
      <c r="E35" t="s">
        <v>206</v>
      </c>
      <c r="F35">
        <v>1996</v>
      </c>
      <c r="G35">
        <v>1</v>
      </c>
      <c r="H35">
        <v>1</v>
      </c>
      <c r="I35" t="str">
        <f t="shared" si="2"/>
        <v>Armenia</v>
      </c>
      <c r="L35">
        <v>14</v>
      </c>
      <c r="M35">
        <v>1</v>
      </c>
    </row>
    <row r="36" spans="1:16" ht="15.75" customHeight="1" x14ac:dyDescent="0.2">
      <c r="A36">
        <f t="shared" si="1"/>
        <v>1</v>
      </c>
      <c r="B36" t="s">
        <v>21</v>
      </c>
      <c r="C36" t="s">
        <v>19</v>
      </c>
      <c r="D36" t="s">
        <v>450</v>
      </c>
      <c r="E36" t="s">
        <v>450</v>
      </c>
      <c r="F36">
        <v>1999</v>
      </c>
      <c r="G36">
        <v>1</v>
      </c>
      <c r="H36">
        <v>1</v>
      </c>
      <c r="I36" t="str">
        <f t="shared" si="2"/>
        <v>Armenia</v>
      </c>
      <c r="K36">
        <v>1998</v>
      </c>
      <c r="L36">
        <v>13</v>
      </c>
      <c r="M36">
        <v>0</v>
      </c>
    </row>
    <row r="37" spans="1:16" ht="15.75" customHeight="1" x14ac:dyDescent="0.2">
      <c r="A37">
        <f t="shared" si="1"/>
        <v>1</v>
      </c>
      <c r="B37" t="s">
        <v>21</v>
      </c>
      <c r="C37" t="s">
        <v>19</v>
      </c>
      <c r="D37" t="s">
        <v>281</v>
      </c>
      <c r="E37" t="s">
        <v>251</v>
      </c>
      <c r="F37">
        <v>2000</v>
      </c>
      <c r="G37">
        <v>1</v>
      </c>
      <c r="H37">
        <v>1</v>
      </c>
      <c r="I37" t="str">
        <f t="shared" si="2"/>
        <v>Armenia</v>
      </c>
      <c r="L37">
        <v>12</v>
      </c>
      <c r="M37">
        <v>0</v>
      </c>
    </row>
    <row r="38" spans="1:16" ht="15.75" customHeight="1" x14ac:dyDescent="0.2">
      <c r="A38">
        <f t="shared" si="1"/>
        <v>1</v>
      </c>
      <c r="B38" t="s">
        <v>21</v>
      </c>
      <c r="C38" t="s">
        <v>19</v>
      </c>
      <c r="D38" t="s">
        <v>450</v>
      </c>
      <c r="E38" t="s">
        <v>450</v>
      </c>
      <c r="F38">
        <v>2003</v>
      </c>
      <c r="G38">
        <v>1</v>
      </c>
      <c r="H38">
        <v>0</v>
      </c>
      <c r="I38" t="str">
        <f t="shared" si="2"/>
        <v/>
      </c>
      <c r="L38">
        <v>11</v>
      </c>
      <c r="M38">
        <v>0</v>
      </c>
    </row>
    <row r="39" spans="1:16" x14ac:dyDescent="0.2">
      <c r="A39">
        <f t="shared" si="1"/>
        <v>1</v>
      </c>
      <c r="B39" t="s">
        <v>21</v>
      </c>
      <c r="C39" t="s">
        <v>19</v>
      </c>
      <c r="D39" t="s">
        <v>450</v>
      </c>
      <c r="E39" t="s">
        <v>450</v>
      </c>
      <c r="F39">
        <v>2004</v>
      </c>
      <c r="G39">
        <v>1</v>
      </c>
      <c r="H39">
        <v>0</v>
      </c>
      <c r="I39" t="str">
        <f t="shared" si="2"/>
        <v/>
      </c>
      <c r="L39">
        <v>10</v>
      </c>
      <c r="M39">
        <v>0</v>
      </c>
    </row>
    <row r="40" spans="1:16" ht="15.75" customHeight="1" x14ac:dyDescent="0.2">
      <c r="A40">
        <f t="shared" si="1"/>
        <v>1</v>
      </c>
      <c r="B40" t="s">
        <v>21</v>
      </c>
      <c r="C40" t="s">
        <v>19</v>
      </c>
      <c r="D40" t="s">
        <v>281</v>
      </c>
      <c r="E40" t="s">
        <v>251</v>
      </c>
      <c r="F40">
        <v>2005</v>
      </c>
      <c r="G40">
        <v>1</v>
      </c>
      <c r="H40">
        <v>0</v>
      </c>
      <c r="L40">
        <v>2</v>
      </c>
      <c r="M40">
        <v>0</v>
      </c>
    </row>
    <row r="41" spans="1:16" ht="15.75" customHeight="1" x14ac:dyDescent="0.2">
      <c r="A41">
        <f t="shared" si="1"/>
        <v>1</v>
      </c>
      <c r="B41" t="s">
        <v>21</v>
      </c>
      <c r="C41" t="s">
        <v>19</v>
      </c>
      <c r="D41" t="s">
        <v>450</v>
      </c>
      <c r="E41" t="s">
        <v>450</v>
      </c>
      <c r="F41">
        <v>2005</v>
      </c>
      <c r="G41">
        <v>1</v>
      </c>
      <c r="H41">
        <v>0</v>
      </c>
      <c r="I41" t="str">
        <f>IF(H41=1,B41,"")</f>
        <v/>
      </c>
      <c r="L41">
        <v>9</v>
      </c>
      <c r="M41">
        <v>0</v>
      </c>
    </row>
    <row r="42" spans="1:16" ht="15.75" customHeight="1" x14ac:dyDescent="0.2">
      <c r="A42">
        <f t="shared" si="1"/>
        <v>1</v>
      </c>
      <c r="B42" t="s">
        <v>21</v>
      </c>
      <c r="C42" t="s">
        <v>19</v>
      </c>
      <c r="D42" t="s">
        <v>450</v>
      </c>
      <c r="E42" t="s">
        <v>450</v>
      </c>
      <c r="F42">
        <v>2006</v>
      </c>
      <c r="G42">
        <v>1</v>
      </c>
      <c r="H42">
        <v>0</v>
      </c>
      <c r="I42" t="str">
        <f>IF(H42=1,B42,"")</f>
        <v/>
      </c>
      <c r="L42">
        <v>8</v>
      </c>
      <c r="M42">
        <v>0</v>
      </c>
    </row>
    <row r="43" spans="1:16" ht="15.75" customHeight="1" x14ac:dyDescent="0.2">
      <c r="A43">
        <f t="shared" si="1"/>
        <v>1</v>
      </c>
      <c r="B43" t="s">
        <v>21</v>
      </c>
      <c r="C43" t="s">
        <v>19</v>
      </c>
      <c r="D43" t="s">
        <v>450</v>
      </c>
      <c r="E43" t="s">
        <v>450</v>
      </c>
      <c r="F43">
        <v>2007</v>
      </c>
      <c r="G43">
        <v>1</v>
      </c>
      <c r="H43">
        <v>0</v>
      </c>
      <c r="I43" t="str">
        <f>IF(H43=1,B43,"")</f>
        <v/>
      </c>
      <c r="L43">
        <v>7</v>
      </c>
      <c r="M43">
        <v>0</v>
      </c>
    </row>
    <row r="44" spans="1:16" ht="15.75" customHeight="1" x14ac:dyDescent="0.2">
      <c r="A44">
        <f t="shared" si="1"/>
        <v>1</v>
      </c>
      <c r="B44" t="s">
        <v>21</v>
      </c>
      <c r="C44" t="s">
        <v>19</v>
      </c>
      <c r="D44" t="s">
        <v>450</v>
      </c>
      <c r="E44" t="s">
        <v>450</v>
      </c>
      <c r="F44">
        <v>2008</v>
      </c>
      <c r="G44">
        <v>1</v>
      </c>
      <c r="H44">
        <v>0</v>
      </c>
      <c r="I44" t="str">
        <f>IF(H44=1,B44,"")</f>
        <v/>
      </c>
      <c r="L44">
        <v>6</v>
      </c>
      <c r="M44">
        <v>0</v>
      </c>
    </row>
    <row r="45" spans="1:16" ht="15.75" customHeight="1" x14ac:dyDescent="0.2">
      <c r="A45">
        <f t="shared" si="1"/>
        <v>1</v>
      </c>
      <c r="B45" t="s">
        <v>21</v>
      </c>
      <c r="C45" t="s">
        <v>19</v>
      </c>
      <c r="D45" t="s">
        <v>450</v>
      </c>
      <c r="E45" t="s">
        <v>450</v>
      </c>
      <c r="F45">
        <v>2009</v>
      </c>
      <c r="G45">
        <v>1</v>
      </c>
      <c r="H45">
        <v>0</v>
      </c>
      <c r="I45" t="str">
        <f>IF(H45=1,B45,"")</f>
        <v/>
      </c>
      <c r="L45">
        <v>5</v>
      </c>
      <c r="M45">
        <v>0</v>
      </c>
    </row>
    <row r="46" spans="1:16" ht="15.75" customHeight="1" x14ac:dyDescent="0.2">
      <c r="A46">
        <f t="shared" si="1"/>
        <v>1</v>
      </c>
      <c r="B46" t="s">
        <v>21</v>
      </c>
      <c r="C46" t="s">
        <v>19</v>
      </c>
      <c r="D46" t="s">
        <v>281</v>
      </c>
      <c r="E46" t="s">
        <v>251</v>
      </c>
      <c r="F46">
        <v>2010</v>
      </c>
      <c r="G46">
        <v>1</v>
      </c>
      <c r="H46">
        <v>0</v>
      </c>
      <c r="J46" t="s">
        <v>290</v>
      </c>
      <c r="L46">
        <v>1</v>
      </c>
      <c r="M46">
        <v>0</v>
      </c>
    </row>
    <row r="47" spans="1:16" ht="15.75" customHeight="1" x14ac:dyDescent="0.2">
      <c r="A47">
        <f t="shared" si="1"/>
        <v>1</v>
      </c>
      <c r="B47" t="s">
        <v>21</v>
      </c>
      <c r="C47" t="s">
        <v>19</v>
      </c>
      <c r="D47" t="s">
        <v>450</v>
      </c>
      <c r="E47" t="s">
        <v>450</v>
      </c>
      <c r="F47">
        <v>2011</v>
      </c>
      <c r="G47">
        <v>1</v>
      </c>
      <c r="H47">
        <v>0</v>
      </c>
      <c r="I47" t="str">
        <f>IF(H47=1,B47,"")</f>
        <v/>
      </c>
      <c r="L47">
        <v>4</v>
      </c>
      <c r="M47">
        <v>0</v>
      </c>
    </row>
    <row r="48" spans="1:16" ht="15.75" customHeight="1" x14ac:dyDescent="0.2">
      <c r="A48">
        <f t="shared" si="1"/>
        <v>0</v>
      </c>
      <c r="B48" t="s">
        <v>21</v>
      </c>
      <c r="C48" t="s">
        <v>19</v>
      </c>
      <c r="D48" t="s">
        <v>450</v>
      </c>
      <c r="E48" t="s">
        <v>450</v>
      </c>
      <c r="F48">
        <v>2012</v>
      </c>
      <c r="G48">
        <v>1</v>
      </c>
      <c r="H48">
        <v>0</v>
      </c>
      <c r="I48" t="str">
        <f>IF(H48=1,B48,"")</f>
        <v/>
      </c>
      <c r="L48">
        <v>3</v>
      </c>
      <c r="M48">
        <v>0</v>
      </c>
      <c r="N48" s="93">
        <v>1995</v>
      </c>
      <c r="O48" s="93">
        <v>2000</v>
      </c>
      <c r="P48" s="93">
        <v>2006</v>
      </c>
    </row>
    <row r="49" spans="1:17" ht="15.75" customHeight="1" x14ac:dyDescent="0.2">
      <c r="A49">
        <f t="shared" si="1"/>
        <v>1</v>
      </c>
      <c r="B49" t="s">
        <v>22</v>
      </c>
      <c r="C49" t="s">
        <v>19</v>
      </c>
      <c r="D49" t="s">
        <v>244</v>
      </c>
      <c r="E49" t="s">
        <v>207</v>
      </c>
      <c r="F49">
        <v>1995</v>
      </c>
      <c r="G49">
        <v>1</v>
      </c>
      <c r="H49">
        <v>1</v>
      </c>
      <c r="L49">
        <v>3</v>
      </c>
      <c r="M49">
        <v>1</v>
      </c>
      <c r="N49" s="94"/>
      <c r="O49" s="94"/>
      <c r="P49" s="94"/>
      <c r="Q49" s="70"/>
    </row>
    <row r="50" spans="1:17" s="70" customFormat="1" ht="15.75" customHeight="1" x14ac:dyDescent="0.2">
      <c r="A50">
        <f t="shared" si="1"/>
        <v>1</v>
      </c>
      <c r="B50" t="s">
        <v>22</v>
      </c>
      <c r="C50" t="s">
        <v>19</v>
      </c>
      <c r="D50" t="s">
        <v>151</v>
      </c>
      <c r="E50">
        <v>2</v>
      </c>
      <c r="F50">
        <v>2000</v>
      </c>
      <c r="G50">
        <v>1</v>
      </c>
      <c r="H50">
        <v>1</v>
      </c>
      <c r="I50" t="str">
        <f>IF(H50=1,B50,"")</f>
        <v>Azerbaijan</v>
      </c>
      <c r="J50"/>
      <c r="K50">
        <v>2000</v>
      </c>
      <c r="L50">
        <v>2</v>
      </c>
      <c r="M50">
        <v>0</v>
      </c>
      <c r="N50" s="93"/>
      <c r="O50" s="93"/>
      <c r="P50" s="93"/>
      <c r="Q50"/>
    </row>
    <row r="51" spans="1:17" ht="15.75" customHeight="1" x14ac:dyDescent="0.2">
      <c r="A51">
        <f t="shared" si="1"/>
        <v>0</v>
      </c>
      <c r="B51" t="s">
        <v>22</v>
      </c>
      <c r="C51" t="s">
        <v>19</v>
      </c>
      <c r="D51" t="s">
        <v>281</v>
      </c>
      <c r="E51" t="s">
        <v>268</v>
      </c>
      <c r="F51">
        <v>2006</v>
      </c>
      <c r="G51">
        <v>1</v>
      </c>
      <c r="H51">
        <v>1</v>
      </c>
      <c r="L51">
        <v>1</v>
      </c>
      <c r="M51">
        <v>0</v>
      </c>
      <c r="N51" s="93">
        <v>1994</v>
      </c>
      <c r="O51" s="93">
        <v>1996</v>
      </c>
      <c r="P51" s="93">
        <v>1997</v>
      </c>
    </row>
    <row r="52" spans="1:17" ht="15.75" customHeight="1" x14ac:dyDescent="0.2">
      <c r="A52">
        <f t="shared" si="1"/>
        <v>1</v>
      </c>
      <c r="B52" t="s">
        <v>86</v>
      </c>
      <c r="C52" t="s">
        <v>87</v>
      </c>
      <c r="D52" t="s">
        <v>281</v>
      </c>
      <c r="E52" t="s">
        <v>251</v>
      </c>
      <c r="F52">
        <v>1994</v>
      </c>
      <c r="G52">
        <v>1</v>
      </c>
      <c r="H52">
        <v>1</v>
      </c>
      <c r="L52">
        <v>11</v>
      </c>
      <c r="M52">
        <v>1</v>
      </c>
    </row>
    <row r="53" spans="1:17" ht="15.75" customHeight="1" x14ac:dyDescent="0.2">
      <c r="A53">
        <f t="shared" si="1"/>
        <v>1</v>
      </c>
      <c r="B53" t="s">
        <v>86</v>
      </c>
      <c r="C53" t="s">
        <v>87</v>
      </c>
      <c r="D53" t="s">
        <v>151</v>
      </c>
      <c r="E53">
        <v>1</v>
      </c>
      <c r="F53">
        <v>1996</v>
      </c>
      <c r="G53">
        <v>1</v>
      </c>
      <c r="H53">
        <v>1</v>
      </c>
      <c r="I53" t="str">
        <f>IF(H53=1,B53,"")</f>
        <v>Bangladesh</v>
      </c>
      <c r="K53">
        <v>1996</v>
      </c>
      <c r="L53">
        <v>10</v>
      </c>
      <c r="M53">
        <v>0</v>
      </c>
    </row>
    <row r="54" spans="1:17" ht="15.75" customHeight="1" x14ac:dyDescent="0.2">
      <c r="A54">
        <f t="shared" si="1"/>
        <v>1</v>
      </c>
      <c r="B54" t="s">
        <v>86</v>
      </c>
      <c r="C54" t="s">
        <v>87</v>
      </c>
      <c r="D54" t="s">
        <v>281</v>
      </c>
      <c r="E54" t="s">
        <v>251</v>
      </c>
      <c r="F54">
        <v>1997</v>
      </c>
      <c r="G54">
        <v>1</v>
      </c>
      <c r="H54">
        <v>0</v>
      </c>
      <c r="L54">
        <v>9</v>
      </c>
      <c r="M54">
        <v>0</v>
      </c>
    </row>
    <row r="55" spans="1:17" ht="15.75" customHeight="1" x14ac:dyDescent="0.2">
      <c r="A55">
        <f t="shared" si="1"/>
        <v>1</v>
      </c>
      <c r="B55" t="s">
        <v>86</v>
      </c>
      <c r="C55" t="s">
        <v>87</v>
      </c>
      <c r="D55" t="s">
        <v>281</v>
      </c>
      <c r="E55" t="s">
        <v>251</v>
      </c>
      <c r="F55">
        <v>1999</v>
      </c>
      <c r="G55">
        <v>1</v>
      </c>
      <c r="H55">
        <v>0</v>
      </c>
      <c r="L55">
        <v>8</v>
      </c>
      <c r="M55">
        <v>0</v>
      </c>
    </row>
    <row r="56" spans="1:17" ht="15.75" customHeight="1" x14ac:dyDescent="0.2">
      <c r="A56">
        <f t="shared" si="1"/>
        <v>1</v>
      </c>
      <c r="B56" t="s">
        <v>86</v>
      </c>
      <c r="C56" t="s">
        <v>87</v>
      </c>
      <c r="D56" t="s">
        <v>281</v>
      </c>
      <c r="E56" t="s">
        <v>251</v>
      </c>
      <c r="F56">
        <v>2000</v>
      </c>
      <c r="G56">
        <v>1</v>
      </c>
      <c r="H56">
        <v>0</v>
      </c>
      <c r="L56">
        <v>7</v>
      </c>
      <c r="M56">
        <v>0</v>
      </c>
    </row>
    <row r="57" spans="1:17" ht="15.75" customHeight="1" x14ac:dyDescent="0.2">
      <c r="A57">
        <f t="shared" si="1"/>
        <v>1</v>
      </c>
      <c r="B57" t="s">
        <v>86</v>
      </c>
      <c r="C57" t="s">
        <v>87</v>
      </c>
      <c r="D57" t="s">
        <v>281</v>
      </c>
      <c r="E57" t="s">
        <v>251</v>
      </c>
      <c r="F57">
        <v>2001</v>
      </c>
      <c r="G57">
        <v>1</v>
      </c>
      <c r="H57">
        <v>0</v>
      </c>
      <c r="L57">
        <v>6</v>
      </c>
      <c r="M57">
        <v>0</v>
      </c>
    </row>
    <row r="58" spans="1:17" ht="15.75" customHeight="1" x14ac:dyDescent="0.2">
      <c r="A58">
        <f t="shared" si="1"/>
        <v>1</v>
      </c>
      <c r="B58" t="s">
        <v>86</v>
      </c>
      <c r="C58" t="s">
        <v>87</v>
      </c>
      <c r="D58" t="s">
        <v>281</v>
      </c>
      <c r="E58" t="s">
        <v>251</v>
      </c>
      <c r="F58">
        <v>2004</v>
      </c>
      <c r="G58">
        <v>1</v>
      </c>
      <c r="H58">
        <v>0</v>
      </c>
      <c r="L58">
        <v>5</v>
      </c>
      <c r="M58">
        <v>0</v>
      </c>
    </row>
    <row r="59" spans="1:17" ht="15.75" customHeight="1" x14ac:dyDescent="0.2">
      <c r="A59">
        <f t="shared" si="1"/>
        <v>1</v>
      </c>
      <c r="B59" t="s">
        <v>86</v>
      </c>
      <c r="C59" t="s">
        <v>87</v>
      </c>
      <c r="D59" t="s">
        <v>151</v>
      </c>
      <c r="E59">
        <v>3</v>
      </c>
      <c r="F59">
        <v>2006</v>
      </c>
      <c r="G59">
        <v>1</v>
      </c>
      <c r="H59">
        <v>0</v>
      </c>
      <c r="I59" t="str">
        <f>IF(H59=1,B59,"")</f>
        <v/>
      </c>
      <c r="K59">
        <v>2006</v>
      </c>
      <c r="L59">
        <v>4</v>
      </c>
      <c r="M59">
        <v>0</v>
      </c>
    </row>
    <row r="60" spans="1:17" ht="15.75" customHeight="1" x14ac:dyDescent="0.2">
      <c r="A60">
        <f t="shared" si="1"/>
        <v>1</v>
      </c>
      <c r="B60" t="s">
        <v>86</v>
      </c>
      <c r="C60" t="s">
        <v>87</v>
      </c>
      <c r="D60" t="s">
        <v>281</v>
      </c>
      <c r="E60" t="s">
        <v>251</v>
      </c>
      <c r="F60">
        <v>2007</v>
      </c>
      <c r="G60">
        <v>1</v>
      </c>
      <c r="H60">
        <v>0</v>
      </c>
      <c r="L60">
        <v>3</v>
      </c>
      <c r="M60">
        <v>0</v>
      </c>
    </row>
    <row r="61" spans="1:17" ht="15.75" customHeight="1" x14ac:dyDescent="0.2">
      <c r="A61">
        <f t="shared" si="1"/>
        <v>1</v>
      </c>
      <c r="B61" t="s">
        <v>86</v>
      </c>
      <c r="C61" t="s">
        <v>87</v>
      </c>
      <c r="D61" t="s">
        <v>281</v>
      </c>
      <c r="E61" t="s">
        <v>251</v>
      </c>
      <c r="F61">
        <v>2011</v>
      </c>
      <c r="G61">
        <v>1</v>
      </c>
      <c r="H61">
        <v>0</v>
      </c>
      <c r="L61">
        <v>2</v>
      </c>
      <c r="M61">
        <v>0</v>
      </c>
    </row>
    <row r="62" spans="1:17" ht="15.75" customHeight="1" x14ac:dyDescent="0.2">
      <c r="A62">
        <f t="shared" si="1"/>
        <v>0</v>
      </c>
      <c r="B62" t="s">
        <v>86</v>
      </c>
      <c r="C62" t="s">
        <v>87</v>
      </c>
      <c r="D62" t="s">
        <v>151</v>
      </c>
      <c r="E62">
        <v>5</v>
      </c>
      <c r="F62">
        <v>2013</v>
      </c>
      <c r="G62">
        <v>1</v>
      </c>
      <c r="H62">
        <v>0</v>
      </c>
      <c r="K62">
        <v>2012</v>
      </c>
      <c r="L62">
        <v>1</v>
      </c>
      <c r="M62">
        <v>0</v>
      </c>
      <c r="N62" s="93">
        <v>2012</v>
      </c>
    </row>
    <row r="63" spans="1:17" ht="15.75" customHeight="1" x14ac:dyDescent="0.2">
      <c r="A63">
        <f t="shared" si="1"/>
        <v>0</v>
      </c>
      <c r="B63" s="105" t="s">
        <v>339</v>
      </c>
      <c r="C63" s="105" t="s">
        <v>469</v>
      </c>
      <c r="D63" s="105" t="s">
        <v>151</v>
      </c>
      <c r="E63" s="105">
        <v>4</v>
      </c>
      <c r="F63" s="105">
        <v>2012</v>
      </c>
      <c r="G63" s="105">
        <v>1</v>
      </c>
      <c r="H63" s="105">
        <v>1</v>
      </c>
      <c r="I63" s="105" t="s">
        <v>339</v>
      </c>
      <c r="J63" s="105"/>
      <c r="K63" s="105">
        <v>2012</v>
      </c>
      <c r="L63" s="105">
        <v>1</v>
      </c>
      <c r="M63" s="105">
        <v>1</v>
      </c>
      <c r="N63" s="107">
        <v>2005</v>
      </c>
      <c r="O63" s="107">
        <v>2012</v>
      </c>
      <c r="P63" s="107"/>
      <c r="Q63" s="105"/>
    </row>
    <row r="64" spans="1:17" x14ac:dyDescent="0.2">
      <c r="A64">
        <f t="shared" si="1"/>
        <v>1</v>
      </c>
      <c r="B64" t="s">
        <v>23</v>
      </c>
      <c r="C64" t="s">
        <v>154</v>
      </c>
      <c r="D64" t="s">
        <v>151</v>
      </c>
      <c r="E64">
        <v>3</v>
      </c>
      <c r="F64">
        <v>2005</v>
      </c>
      <c r="G64">
        <v>1</v>
      </c>
      <c r="H64">
        <v>1</v>
      </c>
      <c r="I64" t="str">
        <f>IF(H64=1,B64,"")</f>
        <v>Belarus</v>
      </c>
      <c r="K64">
        <v>2005</v>
      </c>
      <c r="L64">
        <v>2</v>
      </c>
      <c r="M64">
        <v>1</v>
      </c>
    </row>
    <row r="65" spans="1:16" ht="15.75" customHeight="1" x14ac:dyDescent="0.2">
      <c r="A65">
        <f t="shared" si="1"/>
        <v>0</v>
      </c>
      <c r="B65" t="s">
        <v>23</v>
      </c>
      <c r="C65" t="s">
        <v>19</v>
      </c>
      <c r="D65" t="s">
        <v>151</v>
      </c>
      <c r="E65">
        <v>4</v>
      </c>
      <c r="F65">
        <v>2012</v>
      </c>
      <c r="G65">
        <v>1</v>
      </c>
      <c r="H65">
        <v>0</v>
      </c>
      <c r="K65">
        <v>2012</v>
      </c>
      <c r="L65">
        <v>1</v>
      </c>
      <c r="M65">
        <v>0</v>
      </c>
      <c r="N65" s="93">
        <v>2001</v>
      </c>
      <c r="O65" s="93">
        <v>2006</v>
      </c>
      <c r="P65" s="93">
        <v>2011</v>
      </c>
    </row>
    <row r="66" spans="1:16" ht="15.75" customHeight="1" x14ac:dyDescent="0.2">
      <c r="A66">
        <f t="shared" si="1"/>
        <v>1</v>
      </c>
      <c r="B66" t="s">
        <v>50</v>
      </c>
      <c r="C66" t="s">
        <v>469</v>
      </c>
      <c r="D66" t="s">
        <v>244</v>
      </c>
      <c r="E66" t="s">
        <v>384</v>
      </c>
      <c r="F66">
        <v>2001</v>
      </c>
      <c r="G66">
        <v>1</v>
      </c>
      <c r="H66">
        <v>1</v>
      </c>
      <c r="I66" t="str">
        <f t="shared" ref="I66:I71" si="3">IF(H66=1,B66,"")</f>
        <v>Belize</v>
      </c>
      <c r="K66">
        <v>2001</v>
      </c>
      <c r="L66">
        <v>3</v>
      </c>
      <c r="M66">
        <v>1</v>
      </c>
    </row>
    <row r="67" spans="1:16" ht="15.75" customHeight="1" x14ac:dyDescent="0.2">
      <c r="A67">
        <f t="shared" si="1"/>
        <v>1</v>
      </c>
      <c r="B67" t="s">
        <v>50</v>
      </c>
      <c r="C67" t="s">
        <v>469</v>
      </c>
      <c r="D67" t="s">
        <v>151</v>
      </c>
      <c r="E67">
        <v>3</v>
      </c>
      <c r="F67">
        <v>2006</v>
      </c>
      <c r="G67">
        <v>1</v>
      </c>
      <c r="H67">
        <v>1</v>
      </c>
      <c r="I67" t="str">
        <f t="shared" si="3"/>
        <v>Belize</v>
      </c>
      <c r="K67">
        <v>2006</v>
      </c>
      <c r="L67">
        <v>2</v>
      </c>
      <c r="M67">
        <v>0</v>
      </c>
    </row>
    <row r="68" spans="1:16" ht="15.75" customHeight="1" x14ac:dyDescent="0.2">
      <c r="A68">
        <f t="shared" si="1"/>
        <v>0</v>
      </c>
      <c r="B68" t="s">
        <v>50</v>
      </c>
      <c r="C68" t="s">
        <v>469</v>
      </c>
      <c r="D68" t="s">
        <v>151</v>
      </c>
      <c r="E68">
        <v>4</v>
      </c>
      <c r="F68">
        <v>2011</v>
      </c>
      <c r="G68">
        <v>1</v>
      </c>
      <c r="H68">
        <v>0</v>
      </c>
      <c r="I68" t="str">
        <f t="shared" si="3"/>
        <v/>
      </c>
      <c r="K68">
        <v>2011</v>
      </c>
      <c r="L68">
        <v>1</v>
      </c>
      <c r="M68">
        <v>0</v>
      </c>
      <c r="N68" s="93">
        <v>1996</v>
      </c>
      <c r="O68" s="93">
        <v>2001</v>
      </c>
      <c r="P68" s="93">
        <v>2003</v>
      </c>
    </row>
    <row r="69" spans="1:16" ht="15.75" customHeight="1" x14ac:dyDescent="0.2">
      <c r="A69">
        <f t="shared" si="1"/>
        <v>1</v>
      </c>
      <c r="B69" t="s">
        <v>96</v>
      </c>
      <c r="C69" t="s">
        <v>95</v>
      </c>
      <c r="D69" t="s">
        <v>281</v>
      </c>
      <c r="E69" t="s">
        <v>251</v>
      </c>
      <c r="F69">
        <v>1996</v>
      </c>
      <c r="G69">
        <v>1</v>
      </c>
      <c r="H69">
        <v>1</v>
      </c>
      <c r="I69" t="str">
        <f t="shared" si="3"/>
        <v>Benin</v>
      </c>
      <c r="L69">
        <v>5</v>
      </c>
      <c r="M69">
        <v>1</v>
      </c>
    </row>
    <row r="70" spans="1:16" ht="15.75" customHeight="1" x14ac:dyDescent="0.2">
      <c r="A70">
        <f t="shared" si="1"/>
        <v>1</v>
      </c>
      <c r="B70" t="s">
        <v>96</v>
      </c>
      <c r="C70" t="s">
        <v>95</v>
      </c>
      <c r="D70" t="s">
        <v>281</v>
      </c>
      <c r="E70" t="s">
        <v>269</v>
      </c>
      <c r="F70">
        <v>2001</v>
      </c>
      <c r="G70">
        <v>1</v>
      </c>
      <c r="H70">
        <v>0</v>
      </c>
      <c r="I70" t="str">
        <f t="shared" si="3"/>
        <v/>
      </c>
      <c r="L70">
        <v>4</v>
      </c>
      <c r="M70">
        <v>0</v>
      </c>
    </row>
    <row r="71" spans="1:16" ht="15.75" customHeight="1" x14ac:dyDescent="0.2">
      <c r="A71">
        <f t="shared" si="1"/>
        <v>1</v>
      </c>
      <c r="B71" t="s">
        <v>96</v>
      </c>
      <c r="C71" t="s">
        <v>95</v>
      </c>
      <c r="D71" t="s">
        <v>304</v>
      </c>
      <c r="E71" t="s">
        <v>304</v>
      </c>
      <c r="F71">
        <v>2003</v>
      </c>
      <c r="G71">
        <v>1</v>
      </c>
      <c r="H71">
        <v>1</v>
      </c>
      <c r="I71" t="str">
        <f t="shared" si="3"/>
        <v>Benin</v>
      </c>
      <c r="K71">
        <v>2003</v>
      </c>
      <c r="L71">
        <v>3</v>
      </c>
      <c r="M71">
        <v>0</v>
      </c>
    </row>
    <row r="72" spans="1:16" ht="15.75" customHeight="1" x14ac:dyDescent="0.2">
      <c r="A72">
        <f t="shared" si="1"/>
        <v>1</v>
      </c>
      <c r="B72" t="s">
        <v>96</v>
      </c>
      <c r="C72" t="s">
        <v>95</v>
      </c>
      <c r="D72" t="s">
        <v>281</v>
      </c>
      <c r="E72" t="s">
        <v>251</v>
      </c>
      <c r="F72">
        <v>2006</v>
      </c>
      <c r="G72">
        <v>1</v>
      </c>
      <c r="H72">
        <v>0</v>
      </c>
      <c r="L72">
        <v>2</v>
      </c>
      <c r="M72">
        <v>0</v>
      </c>
    </row>
    <row r="73" spans="1:16" ht="15.75" customHeight="1" x14ac:dyDescent="0.2">
      <c r="A73">
        <f t="shared" ref="A73:A136" si="4">IF(B73=B74,1,0)</f>
        <v>0</v>
      </c>
      <c r="B73" s="105" t="s">
        <v>96</v>
      </c>
      <c r="C73" s="105" t="s">
        <v>95</v>
      </c>
      <c r="D73" s="105" t="s">
        <v>281</v>
      </c>
      <c r="E73" s="105" t="s">
        <v>251</v>
      </c>
      <c r="F73" s="105">
        <v>2012</v>
      </c>
      <c r="G73" s="105">
        <v>1</v>
      </c>
      <c r="H73" s="105">
        <v>0</v>
      </c>
      <c r="I73" s="105"/>
      <c r="J73" s="105"/>
      <c r="K73" s="105"/>
      <c r="L73" s="105">
        <v>1</v>
      </c>
      <c r="M73" s="105">
        <v>0</v>
      </c>
    </row>
    <row r="74" spans="1:16" ht="15.75" customHeight="1" x14ac:dyDescent="0.2">
      <c r="A74">
        <f t="shared" si="4"/>
        <v>1</v>
      </c>
      <c r="B74" t="s">
        <v>88</v>
      </c>
      <c r="C74" t="s">
        <v>87</v>
      </c>
      <c r="D74" t="s">
        <v>244</v>
      </c>
      <c r="E74" t="s">
        <v>385</v>
      </c>
      <c r="F74">
        <v>2003</v>
      </c>
      <c r="G74">
        <v>1</v>
      </c>
      <c r="H74">
        <v>1</v>
      </c>
      <c r="I74" t="str">
        <f>IF(H74=1,B74,"")</f>
        <v>Bhutan</v>
      </c>
      <c r="K74">
        <v>2003</v>
      </c>
      <c r="L74">
        <v>4</v>
      </c>
      <c r="M74">
        <v>1</v>
      </c>
    </row>
    <row r="75" spans="1:16" ht="15.75" customHeight="1" x14ac:dyDescent="0.2">
      <c r="A75">
        <f t="shared" si="4"/>
        <v>1</v>
      </c>
      <c r="B75" t="s">
        <v>88</v>
      </c>
      <c r="C75" t="s">
        <v>87</v>
      </c>
      <c r="D75" t="s">
        <v>244</v>
      </c>
      <c r="E75" t="s">
        <v>385</v>
      </c>
      <c r="F75">
        <v>2007</v>
      </c>
      <c r="G75">
        <v>1</v>
      </c>
      <c r="H75">
        <v>0</v>
      </c>
      <c r="K75">
        <v>2007</v>
      </c>
      <c r="L75">
        <v>3</v>
      </c>
      <c r="M75">
        <v>0</v>
      </c>
    </row>
    <row r="76" spans="1:16" ht="15.75" customHeight="1" x14ac:dyDescent="0.2">
      <c r="A76">
        <f t="shared" si="4"/>
        <v>1</v>
      </c>
      <c r="B76" t="s">
        <v>88</v>
      </c>
      <c r="C76" t="s">
        <v>87</v>
      </c>
      <c r="D76" t="s">
        <v>151</v>
      </c>
      <c r="E76">
        <v>4</v>
      </c>
      <c r="F76">
        <v>2010</v>
      </c>
      <c r="G76">
        <v>1</v>
      </c>
      <c r="H76">
        <v>1</v>
      </c>
      <c r="I76" t="str">
        <f>IF(H76=1,B76,"")</f>
        <v>Bhutan</v>
      </c>
      <c r="K76">
        <v>2010</v>
      </c>
      <c r="L76">
        <v>2</v>
      </c>
      <c r="M76">
        <v>0</v>
      </c>
    </row>
    <row r="77" spans="1:16" ht="15.75" customHeight="1" x14ac:dyDescent="0.2">
      <c r="A77">
        <f t="shared" si="4"/>
        <v>0</v>
      </c>
      <c r="B77" t="s">
        <v>88</v>
      </c>
      <c r="C77" t="s">
        <v>87</v>
      </c>
      <c r="D77" t="s">
        <v>244</v>
      </c>
      <c r="E77" t="s">
        <v>385</v>
      </c>
      <c r="F77">
        <v>2012</v>
      </c>
      <c r="G77">
        <v>1</v>
      </c>
      <c r="H77">
        <v>0</v>
      </c>
      <c r="I77" t="str">
        <f>IF(H77=1,B77,"")</f>
        <v/>
      </c>
      <c r="K77">
        <v>2012</v>
      </c>
      <c r="L77">
        <v>1</v>
      </c>
      <c r="M77">
        <v>0</v>
      </c>
    </row>
    <row r="78" spans="1:16" ht="15.75" customHeight="1" x14ac:dyDescent="0.2">
      <c r="A78">
        <f t="shared" si="4"/>
        <v>1</v>
      </c>
      <c r="B78" t="s">
        <v>51</v>
      </c>
      <c r="C78" t="s">
        <v>469</v>
      </c>
      <c r="D78" t="s">
        <v>281</v>
      </c>
      <c r="E78" t="s">
        <v>251</v>
      </c>
      <c r="F78">
        <v>1989</v>
      </c>
      <c r="G78">
        <v>1</v>
      </c>
      <c r="H78">
        <v>1</v>
      </c>
      <c r="I78" t="str">
        <f>IF(H78=1,B78,"")</f>
        <v>Bolivia</v>
      </c>
      <c r="L78">
        <v>6</v>
      </c>
      <c r="M78">
        <v>1</v>
      </c>
    </row>
    <row r="79" spans="1:16" ht="15.75" customHeight="1" x14ac:dyDescent="0.2">
      <c r="A79">
        <f t="shared" si="4"/>
        <v>1</v>
      </c>
      <c r="B79" t="s">
        <v>51</v>
      </c>
      <c r="C79" t="s">
        <v>469</v>
      </c>
      <c r="D79" t="s">
        <v>281</v>
      </c>
      <c r="E79" t="s">
        <v>251</v>
      </c>
      <c r="F79">
        <v>1994</v>
      </c>
      <c r="G79">
        <v>1</v>
      </c>
      <c r="H79">
        <v>0</v>
      </c>
      <c r="L79">
        <v>5</v>
      </c>
      <c r="M79">
        <v>0</v>
      </c>
    </row>
    <row r="80" spans="1:16" ht="15.75" customHeight="1" x14ac:dyDescent="0.2">
      <c r="A80">
        <f t="shared" si="4"/>
        <v>1</v>
      </c>
      <c r="B80" t="s">
        <v>51</v>
      </c>
      <c r="C80" t="s">
        <v>469</v>
      </c>
      <c r="D80" t="s">
        <v>281</v>
      </c>
      <c r="E80" t="s">
        <v>251</v>
      </c>
      <c r="F80">
        <v>1998</v>
      </c>
      <c r="G80">
        <v>1</v>
      </c>
      <c r="H80">
        <v>0</v>
      </c>
      <c r="L80">
        <v>4</v>
      </c>
      <c r="M80">
        <v>0</v>
      </c>
    </row>
    <row r="81" spans="1:13" ht="15.75" customHeight="1" x14ac:dyDescent="0.2">
      <c r="A81">
        <f t="shared" si="4"/>
        <v>1</v>
      </c>
      <c r="B81" t="s">
        <v>51</v>
      </c>
      <c r="C81" t="s">
        <v>469</v>
      </c>
      <c r="D81" t="s">
        <v>151</v>
      </c>
      <c r="E81">
        <v>2</v>
      </c>
      <c r="F81">
        <v>2000</v>
      </c>
      <c r="G81">
        <v>1</v>
      </c>
      <c r="H81">
        <v>1</v>
      </c>
      <c r="I81" t="str">
        <f>IF(H81=1,B81,"")</f>
        <v>Bolivia</v>
      </c>
      <c r="K81">
        <v>2000</v>
      </c>
      <c r="L81">
        <v>3</v>
      </c>
      <c r="M81">
        <v>0</v>
      </c>
    </row>
    <row r="82" spans="1:13" ht="15.75" customHeight="1" x14ac:dyDescent="0.2">
      <c r="A82">
        <f t="shared" si="4"/>
        <v>1</v>
      </c>
      <c r="B82" t="s">
        <v>51</v>
      </c>
      <c r="C82" t="s">
        <v>469</v>
      </c>
      <c r="D82" t="s">
        <v>281</v>
      </c>
      <c r="E82" t="s">
        <v>251</v>
      </c>
      <c r="F82">
        <v>2003</v>
      </c>
      <c r="G82">
        <v>1</v>
      </c>
      <c r="H82">
        <v>0</v>
      </c>
      <c r="L82">
        <v>2</v>
      </c>
      <c r="M82">
        <v>0</v>
      </c>
    </row>
    <row r="83" spans="1:13" ht="15.75" customHeight="1" x14ac:dyDescent="0.2">
      <c r="A83">
        <f t="shared" si="4"/>
        <v>0</v>
      </c>
      <c r="B83" t="s">
        <v>51</v>
      </c>
      <c r="C83" t="s">
        <v>469</v>
      </c>
      <c r="D83" t="s">
        <v>281</v>
      </c>
      <c r="E83" t="s">
        <v>251</v>
      </c>
      <c r="F83">
        <v>2008</v>
      </c>
      <c r="G83">
        <v>1</v>
      </c>
      <c r="H83">
        <v>0</v>
      </c>
      <c r="L83">
        <v>1</v>
      </c>
      <c r="M83">
        <v>0</v>
      </c>
    </row>
    <row r="84" spans="1:13" ht="15.75" customHeight="1" x14ac:dyDescent="0.2">
      <c r="A84">
        <f t="shared" si="4"/>
        <v>1</v>
      </c>
      <c r="B84" t="s">
        <v>24</v>
      </c>
      <c r="C84" t="s">
        <v>19</v>
      </c>
      <c r="D84" t="s">
        <v>151</v>
      </c>
      <c r="E84">
        <v>2</v>
      </c>
      <c r="F84">
        <v>2000</v>
      </c>
      <c r="G84">
        <v>1</v>
      </c>
      <c r="H84">
        <v>1</v>
      </c>
      <c r="I84" t="str">
        <f>IF(H84=1,B84,"")</f>
        <v>Bosnia and Herzegovina</v>
      </c>
      <c r="K84">
        <v>2000</v>
      </c>
      <c r="L84">
        <v>8</v>
      </c>
      <c r="M84">
        <v>1</v>
      </c>
    </row>
    <row r="85" spans="1:13" ht="15.75" customHeight="1" x14ac:dyDescent="0.2">
      <c r="A85">
        <f t="shared" si="4"/>
        <v>1</v>
      </c>
      <c r="B85" t="s">
        <v>24</v>
      </c>
      <c r="C85" t="s">
        <v>19</v>
      </c>
      <c r="D85" t="s">
        <v>244</v>
      </c>
      <c r="E85" t="s">
        <v>203</v>
      </c>
      <c r="F85">
        <v>2001</v>
      </c>
      <c r="G85">
        <v>1</v>
      </c>
      <c r="H85">
        <v>1</v>
      </c>
      <c r="I85" t="str">
        <f>IF(H85=1,B85,"")</f>
        <v>Bosnia and Herzegovina</v>
      </c>
      <c r="L85">
        <v>7</v>
      </c>
      <c r="M85">
        <v>0</v>
      </c>
    </row>
    <row r="86" spans="1:13" ht="15.75" customHeight="1" x14ac:dyDescent="0.2">
      <c r="A86">
        <f t="shared" si="4"/>
        <v>1</v>
      </c>
      <c r="B86" t="s">
        <v>24</v>
      </c>
      <c r="C86" t="s">
        <v>19</v>
      </c>
      <c r="D86" t="s">
        <v>244</v>
      </c>
      <c r="E86" t="s">
        <v>208</v>
      </c>
      <c r="F86">
        <v>2002</v>
      </c>
      <c r="G86">
        <v>1</v>
      </c>
      <c r="H86">
        <v>0</v>
      </c>
      <c r="L86">
        <v>6</v>
      </c>
      <c r="M86">
        <v>0</v>
      </c>
    </row>
    <row r="87" spans="1:13" ht="15.75" customHeight="1" x14ac:dyDescent="0.2">
      <c r="A87">
        <f t="shared" si="4"/>
        <v>1</v>
      </c>
      <c r="B87" t="s">
        <v>24</v>
      </c>
      <c r="C87" t="s">
        <v>19</v>
      </c>
      <c r="D87" t="s">
        <v>244</v>
      </c>
      <c r="E87" t="s">
        <v>208</v>
      </c>
      <c r="F87">
        <v>2003</v>
      </c>
      <c r="G87">
        <v>1</v>
      </c>
      <c r="H87">
        <v>0</v>
      </c>
      <c r="L87">
        <v>5</v>
      </c>
      <c r="M87">
        <v>0</v>
      </c>
    </row>
    <row r="88" spans="1:13" ht="15.75" customHeight="1" x14ac:dyDescent="0.2">
      <c r="A88">
        <f t="shared" si="4"/>
        <v>1</v>
      </c>
      <c r="B88" t="s">
        <v>24</v>
      </c>
      <c r="C88" t="s">
        <v>19</v>
      </c>
      <c r="D88" t="s">
        <v>244</v>
      </c>
      <c r="E88" t="s">
        <v>208</v>
      </c>
      <c r="F88">
        <v>2004</v>
      </c>
      <c r="G88">
        <v>1</v>
      </c>
      <c r="H88">
        <v>0</v>
      </c>
      <c r="L88">
        <v>4</v>
      </c>
      <c r="M88">
        <v>0</v>
      </c>
    </row>
    <row r="89" spans="1:13" ht="15.75" customHeight="1" x14ac:dyDescent="0.2">
      <c r="A89">
        <f t="shared" si="4"/>
        <v>1</v>
      </c>
      <c r="B89" t="s">
        <v>24</v>
      </c>
      <c r="C89" t="s">
        <v>19</v>
      </c>
      <c r="D89" t="s">
        <v>151</v>
      </c>
      <c r="E89">
        <v>3</v>
      </c>
      <c r="F89">
        <v>2006</v>
      </c>
      <c r="G89">
        <v>1</v>
      </c>
      <c r="H89">
        <v>0</v>
      </c>
      <c r="I89" t="str">
        <f t="shared" ref="I89:I95" si="5">IF(H89=1,B89,"")</f>
        <v/>
      </c>
      <c r="K89">
        <v>2006</v>
      </c>
      <c r="L89">
        <v>3</v>
      </c>
      <c r="M89">
        <v>0</v>
      </c>
    </row>
    <row r="90" spans="1:13" ht="15.75" customHeight="1" x14ac:dyDescent="0.2">
      <c r="A90">
        <f t="shared" si="4"/>
        <v>1</v>
      </c>
      <c r="B90" t="s">
        <v>24</v>
      </c>
      <c r="C90" t="s">
        <v>19</v>
      </c>
      <c r="D90" t="s">
        <v>151</v>
      </c>
      <c r="E90">
        <v>4</v>
      </c>
      <c r="F90">
        <v>2012</v>
      </c>
      <c r="G90">
        <v>1</v>
      </c>
      <c r="H90">
        <v>0</v>
      </c>
      <c r="I90" t="str">
        <f t="shared" si="5"/>
        <v/>
      </c>
      <c r="K90">
        <v>2011</v>
      </c>
      <c r="L90">
        <v>2</v>
      </c>
      <c r="M90">
        <v>0</v>
      </c>
    </row>
    <row r="91" spans="1:13" ht="15.75" customHeight="1" x14ac:dyDescent="0.2">
      <c r="A91">
        <f t="shared" si="4"/>
        <v>0</v>
      </c>
      <c r="B91" t="s">
        <v>24</v>
      </c>
      <c r="C91" t="s">
        <v>19</v>
      </c>
      <c r="D91" t="s">
        <v>151</v>
      </c>
      <c r="E91">
        <v>4</v>
      </c>
      <c r="F91">
        <v>2012</v>
      </c>
      <c r="G91">
        <v>1</v>
      </c>
      <c r="H91">
        <v>0</v>
      </c>
      <c r="I91" t="str">
        <f t="shared" si="5"/>
        <v/>
      </c>
      <c r="K91">
        <v>2011</v>
      </c>
      <c r="L91">
        <v>1</v>
      </c>
      <c r="M91">
        <v>0</v>
      </c>
    </row>
    <row r="92" spans="1:13" ht="15.75" customHeight="1" x14ac:dyDescent="0.2">
      <c r="A92">
        <f t="shared" si="4"/>
        <v>1</v>
      </c>
      <c r="B92" t="s">
        <v>97</v>
      </c>
      <c r="C92" t="s">
        <v>95</v>
      </c>
      <c r="D92" t="s">
        <v>281</v>
      </c>
      <c r="E92" t="s">
        <v>251</v>
      </c>
      <c r="F92">
        <v>1988</v>
      </c>
      <c r="G92">
        <v>1</v>
      </c>
      <c r="H92">
        <v>1</v>
      </c>
      <c r="I92" t="str">
        <f t="shared" si="5"/>
        <v>Botswana</v>
      </c>
      <c r="L92">
        <v>3</v>
      </c>
      <c r="M92">
        <v>1</v>
      </c>
    </row>
    <row r="93" spans="1:13" ht="15.75" customHeight="1" x14ac:dyDescent="0.2">
      <c r="A93">
        <f t="shared" si="4"/>
        <v>1</v>
      </c>
      <c r="B93" t="s">
        <v>97</v>
      </c>
      <c r="C93" t="s">
        <v>95</v>
      </c>
      <c r="D93" t="s">
        <v>151</v>
      </c>
      <c r="E93">
        <v>2</v>
      </c>
      <c r="F93">
        <v>2000</v>
      </c>
      <c r="G93">
        <v>1</v>
      </c>
      <c r="H93">
        <v>0</v>
      </c>
      <c r="I93" t="str">
        <f t="shared" si="5"/>
        <v/>
      </c>
      <c r="K93">
        <v>2000</v>
      </c>
      <c r="L93">
        <v>2</v>
      </c>
      <c r="M93">
        <v>0</v>
      </c>
    </row>
    <row r="94" spans="1:13" ht="15.75" customHeight="1" x14ac:dyDescent="0.2">
      <c r="A94">
        <f t="shared" si="4"/>
        <v>0</v>
      </c>
      <c r="B94" t="s">
        <v>97</v>
      </c>
      <c r="C94" t="s">
        <v>95</v>
      </c>
      <c r="D94" t="s">
        <v>304</v>
      </c>
      <c r="E94" t="s">
        <v>455</v>
      </c>
      <c r="F94">
        <v>2010</v>
      </c>
      <c r="G94">
        <v>1</v>
      </c>
      <c r="H94">
        <v>1</v>
      </c>
      <c r="I94" t="str">
        <f t="shared" si="5"/>
        <v>Botswana</v>
      </c>
      <c r="K94">
        <v>2009</v>
      </c>
      <c r="L94">
        <v>1</v>
      </c>
      <c r="M94">
        <v>0</v>
      </c>
    </row>
    <row r="95" spans="1:13" ht="15.75" customHeight="1" x14ac:dyDescent="0.2">
      <c r="A95">
        <f t="shared" si="4"/>
        <v>1</v>
      </c>
      <c r="B95" t="s">
        <v>52</v>
      </c>
      <c r="C95" t="s">
        <v>469</v>
      </c>
      <c r="D95" t="s">
        <v>281</v>
      </c>
      <c r="E95" t="s">
        <v>251</v>
      </c>
      <c r="F95">
        <v>1986</v>
      </c>
      <c r="G95">
        <v>1</v>
      </c>
      <c r="H95">
        <v>1</v>
      </c>
      <c r="I95" t="str">
        <f t="shared" si="5"/>
        <v>Brazil</v>
      </c>
      <c r="L95">
        <v>4</v>
      </c>
      <c r="M95">
        <v>1</v>
      </c>
    </row>
    <row r="96" spans="1:13" ht="15.75" customHeight="1" x14ac:dyDescent="0.2">
      <c r="A96">
        <f t="shared" si="4"/>
        <v>1</v>
      </c>
      <c r="B96" t="s">
        <v>52</v>
      </c>
      <c r="C96" t="s">
        <v>469</v>
      </c>
      <c r="D96" t="s">
        <v>281</v>
      </c>
      <c r="E96" t="s">
        <v>251</v>
      </c>
      <c r="F96">
        <v>1991</v>
      </c>
      <c r="G96">
        <v>1</v>
      </c>
      <c r="H96">
        <v>0</v>
      </c>
      <c r="L96">
        <v>3</v>
      </c>
      <c r="M96">
        <v>0</v>
      </c>
    </row>
    <row r="97" spans="1:13" ht="15.75" customHeight="1" x14ac:dyDescent="0.2">
      <c r="A97">
        <f t="shared" si="4"/>
        <v>1</v>
      </c>
      <c r="B97" t="s">
        <v>52</v>
      </c>
      <c r="C97" t="s">
        <v>469</v>
      </c>
      <c r="D97" t="s">
        <v>281</v>
      </c>
      <c r="E97" t="s">
        <v>251</v>
      </c>
      <c r="F97">
        <v>1996</v>
      </c>
      <c r="G97">
        <v>1</v>
      </c>
      <c r="H97">
        <v>0</v>
      </c>
      <c r="L97">
        <v>2</v>
      </c>
      <c r="M97">
        <v>0</v>
      </c>
    </row>
    <row r="98" spans="1:13" ht="15.75" customHeight="1" x14ac:dyDescent="0.2">
      <c r="A98">
        <f t="shared" si="4"/>
        <v>0</v>
      </c>
      <c r="B98" t="s">
        <v>52</v>
      </c>
      <c r="C98" t="s">
        <v>469</v>
      </c>
      <c r="D98" t="s">
        <v>244</v>
      </c>
      <c r="E98" t="s">
        <v>207</v>
      </c>
      <c r="F98">
        <v>1997</v>
      </c>
      <c r="G98">
        <v>1</v>
      </c>
      <c r="H98">
        <v>1</v>
      </c>
      <c r="I98" t="str">
        <f>IF(H98=1,B98,"")</f>
        <v>Brazil</v>
      </c>
      <c r="L98">
        <v>1</v>
      </c>
      <c r="M98">
        <v>0</v>
      </c>
    </row>
    <row r="99" spans="1:13" ht="15.75" customHeight="1" x14ac:dyDescent="0.2">
      <c r="A99">
        <f t="shared" si="4"/>
        <v>1</v>
      </c>
      <c r="B99" t="s">
        <v>25</v>
      </c>
      <c r="C99" t="s">
        <v>19</v>
      </c>
      <c r="D99" t="s">
        <v>244</v>
      </c>
      <c r="E99" t="s">
        <v>209</v>
      </c>
      <c r="F99">
        <v>1995</v>
      </c>
      <c r="G99">
        <v>1</v>
      </c>
      <c r="H99">
        <v>1</v>
      </c>
      <c r="I99" t="str">
        <f>IF(H99=1,B99,"")</f>
        <v>Bulgaria</v>
      </c>
      <c r="L99">
        <v>5</v>
      </c>
      <c r="M99">
        <v>1</v>
      </c>
    </row>
    <row r="100" spans="1:13" ht="15.75" customHeight="1" x14ac:dyDescent="0.2">
      <c r="A100">
        <f t="shared" si="4"/>
        <v>1</v>
      </c>
      <c r="B100" t="s">
        <v>25</v>
      </c>
      <c r="C100" t="s">
        <v>19</v>
      </c>
      <c r="D100" t="s">
        <v>244</v>
      </c>
      <c r="E100" t="s">
        <v>209</v>
      </c>
      <c r="F100">
        <v>1997</v>
      </c>
      <c r="G100">
        <v>1</v>
      </c>
      <c r="H100">
        <v>0</v>
      </c>
      <c r="I100" t="str">
        <f>IF(H100=1,B100,"")</f>
        <v/>
      </c>
      <c r="L100">
        <v>4</v>
      </c>
      <c r="M100">
        <v>0</v>
      </c>
    </row>
    <row r="101" spans="1:13" ht="15.75" customHeight="1" x14ac:dyDescent="0.2">
      <c r="A101">
        <f t="shared" si="4"/>
        <v>1</v>
      </c>
      <c r="B101" t="s">
        <v>25</v>
      </c>
      <c r="C101" t="s">
        <v>19</v>
      </c>
      <c r="D101" t="s">
        <v>244</v>
      </c>
      <c r="E101" t="s">
        <v>209</v>
      </c>
      <c r="F101">
        <v>2001</v>
      </c>
      <c r="G101">
        <v>1</v>
      </c>
      <c r="H101">
        <v>0</v>
      </c>
      <c r="L101">
        <v>3</v>
      </c>
      <c r="M101">
        <v>0</v>
      </c>
    </row>
    <row r="102" spans="1:13" ht="15.75" customHeight="1" x14ac:dyDescent="0.2">
      <c r="A102">
        <f t="shared" si="4"/>
        <v>1</v>
      </c>
      <c r="B102" t="s">
        <v>25</v>
      </c>
      <c r="C102" t="s">
        <v>19</v>
      </c>
      <c r="D102" t="s">
        <v>244</v>
      </c>
      <c r="E102" t="s">
        <v>210</v>
      </c>
      <c r="F102">
        <v>2003</v>
      </c>
      <c r="G102">
        <v>1</v>
      </c>
      <c r="H102">
        <v>0</v>
      </c>
      <c r="L102">
        <v>2</v>
      </c>
      <c r="M102">
        <v>0</v>
      </c>
    </row>
    <row r="103" spans="1:13" ht="15.75" customHeight="1" x14ac:dyDescent="0.2">
      <c r="A103">
        <f t="shared" si="4"/>
        <v>0</v>
      </c>
      <c r="B103" t="s">
        <v>25</v>
      </c>
      <c r="C103" t="s">
        <v>19</v>
      </c>
      <c r="D103" t="s">
        <v>244</v>
      </c>
      <c r="E103" t="s">
        <v>210</v>
      </c>
      <c r="F103">
        <v>2007</v>
      </c>
      <c r="G103">
        <v>1</v>
      </c>
      <c r="H103">
        <v>0</v>
      </c>
      <c r="L103">
        <v>1</v>
      </c>
      <c r="M103">
        <v>0</v>
      </c>
    </row>
    <row r="104" spans="1:13" x14ac:dyDescent="0.2">
      <c r="A104">
        <f t="shared" si="4"/>
        <v>1</v>
      </c>
      <c r="B104" t="s">
        <v>98</v>
      </c>
      <c r="C104" t="s">
        <v>95</v>
      </c>
      <c r="D104" t="s">
        <v>281</v>
      </c>
      <c r="E104" t="s">
        <v>251</v>
      </c>
      <c r="F104">
        <v>1993</v>
      </c>
      <c r="G104">
        <v>1</v>
      </c>
      <c r="H104">
        <v>1</v>
      </c>
      <c r="L104">
        <v>9</v>
      </c>
      <c r="M104">
        <v>1</v>
      </c>
    </row>
    <row r="105" spans="1:13" ht="15.75" customHeight="1" x14ac:dyDescent="0.2">
      <c r="A105">
        <f t="shared" si="4"/>
        <v>1</v>
      </c>
      <c r="B105" t="s">
        <v>98</v>
      </c>
      <c r="C105" t="s">
        <v>95</v>
      </c>
      <c r="D105" t="s">
        <v>281</v>
      </c>
      <c r="E105" t="s">
        <v>254</v>
      </c>
      <c r="F105">
        <v>1999</v>
      </c>
      <c r="G105">
        <v>1</v>
      </c>
      <c r="H105">
        <v>0</v>
      </c>
      <c r="L105">
        <v>8</v>
      </c>
      <c r="M105">
        <v>0</v>
      </c>
    </row>
    <row r="106" spans="1:13" ht="15.75" customHeight="1" x14ac:dyDescent="0.2">
      <c r="A106">
        <f t="shared" si="4"/>
        <v>1</v>
      </c>
      <c r="B106" t="s">
        <v>98</v>
      </c>
      <c r="C106" t="s">
        <v>95</v>
      </c>
      <c r="D106" t="s">
        <v>304</v>
      </c>
      <c r="E106" t="s">
        <v>426</v>
      </c>
      <c r="F106">
        <v>2003</v>
      </c>
      <c r="G106">
        <v>1</v>
      </c>
      <c r="H106">
        <v>1</v>
      </c>
      <c r="I106" t="str">
        <f>IF(H106=1,B106,"")</f>
        <v>Burkina Faso</v>
      </c>
      <c r="L106">
        <v>6</v>
      </c>
      <c r="M106">
        <v>0</v>
      </c>
    </row>
    <row r="107" spans="1:13" ht="15.75" customHeight="1" x14ac:dyDescent="0.2">
      <c r="A107">
        <f t="shared" si="4"/>
        <v>1</v>
      </c>
      <c r="B107" t="s">
        <v>98</v>
      </c>
      <c r="C107" t="s">
        <v>95</v>
      </c>
      <c r="D107" t="s">
        <v>281</v>
      </c>
      <c r="E107" t="s">
        <v>254</v>
      </c>
      <c r="F107">
        <v>2003</v>
      </c>
      <c r="G107">
        <v>1</v>
      </c>
      <c r="H107">
        <v>0</v>
      </c>
      <c r="L107">
        <v>7</v>
      </c>
      <c r="M107">
        <v>0</v>
      </c>
    </row>
    <row r="108" spans="1:13" ht="15.75" customHeight="1" x14ac:dyDescent="0.2">
      <c r="A108">
        <f t="shared" si="4"/>
        <v>1</v>
      </c>
      <c r="B108" t="s">
        <v>98</v>
      </c>
      <c r="C108" t="s">
        <v>95</v>
      </c>
      <c r="D108" t="s">
        <v>304</v>
      </c>
      <c r="E108" t="s">
        <v>426</v>
      </c>
      <c r="F108">
        <v>2005</v>
      </c>
      <c r="G108">
        <v>1</v>
      </c>
      <c r="H108">
        <v>0</v>
      </c>
      <c r="I108" t="str">
        <f>IF(H108=1,B108,"")</f>
        <v/>
      </c>
      <c r="L108">
        <v>5</v>
      </c>
      <c r="M108">
        <v>0</v>
      </c>
    </row>
    <row r="109" spans="1:13" ht="15.75" customHeight="1" x14ac:dyDescent="0.2">
      <c r="A109">
        <f t="shared" si="4"/>
        <v>1</v>
      </c>
      <c r="B109" t="s">
        <v>98</v>
      </c>
      <c r="C109" t="s">
        <v>95</v>
      </c>
      <c r="D109" t="s">
        <v>151</v>
      </c>
      <c r="E109">
        <v>3</v>
      </c>
      <c r="F109">
        <v>2006</v>
      </c>
      <c r="G109">
        <v>1</v>
      </c>
      <c r="H109">
        <v>1</v>
      </c>
      <c r="I109" t="str">
        <f>IF(H109=1,B109,"")</f>
        <v>Burkina Faso</v>
      </c>
      <c r="K109">
        <v>2006</v>
      </c>
      <c r="L109">
        <v>4</v>
      </c>
      <c r="M109">
        <v>0</v>
      </c>
    </row>
    <row r="110" spans="1:13" ht="15.75" customHeight="1" x14ac:dyDescent="0.2">
      <c r="A110">
        <f t="shared" si="4"/>
        <v>1</v>
      </c>
      <c r="B110" t="s">
        <v>98</v>
      </c>
      <c r="C110" t="s">
        <v>95</v>
      </c>
      <c r="D110" t="s">
        <v>304</v>
      </c>
      <c r="E110" t="s">
        <v>426</v>
      </c>
      <c r="F110">
        <v>2007</v>
      </c>
      <c r="G110">
        <v>1</v>
      </c>
      <c r="H110">
        <v>0</v>
      </c>
      <c r="L110">
        <v>3</v>
      </c>
      <c r="M110">
        <v>0</v>
      </c>
    </row>
    <row r="111" spans="1:13" ht="15.75" customHeight="1" x14ac:dyDescent="0.2">
      <c r="A111">
        <f t="shared" si="4"/>
        <v>1</v>
      </c>
      <c r="B111" t="s">
        <v>98</v>
      </c>
      <c r="C111" t="s">
        <v>95</v>
      </c>
      <c r="D111" t="s">
        <v>304</v>
      </c>
      <c r="E111" t="s">
        <v>426</v>
      </c>
      <c r="F111">
        <v>2010</v>
      </c>
      <c r="G111">
        <v>1</v>
      </c>
      <c r="H111">
        <v>0</v>
      </c>
      <c r="K111">
        <v>2009</v>
      </c>
      <c r="L111">
        <v>2</v>
      </c>
      <c r="M111">
        <v>0</v>
      </c>
    </row>
    <row r="112" spans="1:13" ht="15.75" customHeight="1" x14ac:dyDescent="0.2">
      <c r="A112">
        <f t="shared" si="4"/>
        <v>1</v>
      </c>
      <c r="B112" t="s">
        <v>98</v>
      </c>
      <c r="C112" t="s">
        <v>95</v>
      </c>
      <c r="D112" t="s">
        <v>281</v>
      </c>
      <c r="E112" t="s">
        <v>254</v>
      </c>
      <c r="F112">
        <v>2010</v>
      </c>
      <c r="G112">
        <v>1</v>
      </c>
      <c r="H112">
        <v>0</v>
      </c>
      <c r="L112">
        <v>2</v>
      </c>
      <c r="M112">
        <v>0</v>
      </c>
    </row>
    <row r="113" spans="1:13" ht="15.75" customHeight="1" x14ac:dyDescent="0.2">
      <c r="A113">
        <f t="shared" si="4"/>
        <v>0</v>
      </c>
      <c r="B113" s="97" t="s">
        <v>98</v>
      </c>
      <c r="C113" s="97"/>
      <c r="D113" s="97" t="s">
        <v>281</v>
      </c>
      <c r="E113" s="96" t="s">
        <v>295</v>
      </c>
      <c r="F113" s="97">
        <v>2014</v>
      </c>
      <c r="G113" s="97">
        <v>1</v>
      </c>
      <c r="H113" s="97">
        <v>0</v>
      </c>
      <c r="I113" s="97"/>
      <c r="J113" s="97"/>
      <c r="K113" s="97"/>
      <c r="L113" s="97">
        <v>1</v>
      </c>
      <c r="M113">
        <v>0</v>
      </c>
    </row>
    <row r="114" spans="1:13" ht="15.75" customHeight="1" x14ac:dyDescent="0.2">
      <c r="A114">
        <f t="shared" si="4"/>
        <v>1</v>
      </c>
      <c r="B114" t="s">
        <v>99</v>
      </c>
      <c r="C114" t="s">
        <v>95</v>
      </c>
      <c r="D114" t="s">
        <v>281</v>
      </c>
      <c r="E114" t="s">
        <v>254</v>
      </c>
      <c r="F114">
        <v>1987</v>
      </c>
      <c r="G114">
        <v>1</v>
      </c>
      <c r="H114">
        <v>1</v>
      </c>
      <c r="I114" t="str">
        <f>IF(H114=1,B114,"")</f>
        <v>Burundi</v>
      </c>
      <c r="L114">
        <v>6</v>
      </c>
      <c r="M114">
        <v>1</v>
      </c>
    </row>
    <row r="115" spans="1:13" ht="15.75" customHeight="1" x14ac:dyDescent="0.2">
      <c r="A115">
        <f t="shared" si="4"/>
        <v>1</v>
      </c>
      <c r="B115" t="s">
        <v>99</v>
      </c>
      <c r="C115" t="s">
        <v>95</v>
      </c>
      <c r="D115" t="s">
        <v>151</v>
      </c>
      <c r="E115">
        <v>2</v>
      </c>
      <c r="F115">
        <v>2000</v>
      </c>
      <c r="G115">
        <v>1</v>
      </c>
      <c r="H115">
        <v>1</v>
      </c>
      <c r="I115" t="str">
        <f>IF(H115=1,B115,"")</f>
        <v>Burundi</v>
      </c>
      <c r="K115">
        <v>2000</v>
      </c>
      <c r="L115">
        <v>5</v>
      </c>
      <c r="M115">
        <v>0</v>
      </c>
    </row>
    <row r="116" spans="1:13" ht="15.75" customHeight="1" x14ac:dyDescent="0.2">
      <c r="A116">
        <f t="shared" si="4"/>
        <v>1</v>
      </c>
      <c r="B116" t="s">
        <v>99</v>
      </c>
      <c r="C116" t="s">
        <v>95</v>
      </c>
      <c r="D116" t="s">
        <v>151</v>
      </c>
      <c r="E116">
        <v>3</v>
      </c>
      <c r="F116">
        <v>2005</v>
      </c>
      <c r="G116">
        <v>1</v>
      </c>
      <c r="H116">
        <v>0</v>
      </c>
      <c r="I116" t="str">
        <f>IF(H116=1,B116,"")</f>
        <v/>
      </c>
      <c r="K116">
        <v>2005</v>
      </c>
      <c r="L116">
        <v>4</v>
      </c>
      <c r="M116">
        <v>0</v>
      </c>
    </row>
    <row r="117" spans="1:13" x14ac:dyDescent="0.2">
      <c r="A117">
        <f t="shared" si="4"/>
        <v>1</v>
      </c>
      <c r="B117" t="s">
        <v>99</v>
      </c>
      <c r="C117" t="s">
        <v>95</v>
      </c>
      <c r="D117" t="s">
        <v>304</v>
      </c>
      <c r="E117" t="s">
        <v>304</v>
      </c>
      <c r="F117">
        <v>2006</v>
      </c>
      <c r="G117">
        <v>1</v>
      </c>
      <c r="H117">
        <v>1</v>
      </c>
      <c r="I117" t="str">
        <f>IF(H117=1,B117,"")</f>
        <v>Burundi</v>
      </c>
      <c r="K117">
        <v>2006</v>
      </c>
      <c r="L117">
        <v>3</v>
      </c>
      <c r="M117">
        <v>0</v>
      </c>
    </row>
    <row r="118" spans="1:13" ht="15.75" customHeight="1" x14ac:dyDescent="0.2">
      <c r="A118">
        <f t="shared" si="4"/>
        <v>1</v>
      </c>
      <c r="B118" t="s">
        <v>99</v>
      </c>
      <c r="C118" t="s">
        <v>95</v>
      </c>
      <c r="D118" t="s">
        <v>281</v>
      </c>
      <c r="E118" t="s">
        <v>251</v>
      </c>
      <c r="F118">
        <v>2010</v>
      </c>
      <c r="G118">
        <v>1</v>
      </c>
      <c r="H118">
        <v>0</v>
      </c>
      <c r="L118">
        <v>2</v>
      </c>
      <c r="M118">
        <v>0</v>
      </c>
    </row>
    <row r="119" spans="1:13" ht="15.75" customHeight="1" x14ac:dyDescent="0.2">
      <c r="A119">
        <f t="shared" si="4"/>
        <v>0</v>
      </c>
      <c r="B119" t="s">
        <v>99</v>
      </c>
      <c r="C119" t="s">
        <v>95</v>
      </c>
      <c r="D119" t="s">
        <v>281</v>
      </c>
      <c r="E119" t="s">
        <v>254</v>
      </c>
      <c r="F119">
        <v>2012</v>
      </c>
      <c r="G119">
        <v>1</v>
      </c>
      <c r="H119">
        <v>0</v>
      </c>
      <c r="L119">
        <v>1</v>
      </c>
      <c r="M119">
        <v>0</v>
      </c>
    </row>
    <row r="120" spans="1:13" x14ac:dyDescent="0.2">
      <c r="A120">
        <f t="shared" si="4"/>
        <v>1</v>
      </c>
      <c r="B120" t="s">
        <v>5</v>
      </c>
      <c r="C120" t="s">
        <v>158</v>
      </c>
      <c r="D120" t="s">
        <v>281</v>
      </c>
      <c r="E120" t="s">
        <v>254</v>
      </c>
      <c r="F120">
        <v>1998</v>
      </c>
      <c r="G120">
        <v>1</v>
      </c>
      <c r="H120">
        <v>1</v>
      </c>
      <c r="I120" t="str">
        <f>IF(H120=1,B120,"")</f>
        <v>Cambodia</v>
      </c>
      <c r="L120">
        <v>5</v>
      </c>
      <c r="M120">
        <v>1</v>
      </c>
    </row>
    <row r="121" spans="1:13" ht="15.75" customHeight="1" x14ac:dyDescent="0.2">
      <c r="A121">
        <f t="shared" si="4"/>
        <v>1</v>
      </c>
      <c r="B121" t="s">
        <v>5</v>
      </c>
      <c r="C121" t="s">
        <v>158</v>
      </c>
      <c r="D121" t="s">
        <v>281</v>
      </c>
      <c r="E121" t="s">
        <v>254</v>
      </c>
      <c r="F121">
        <v>2000</v>
      </c>
      <c r="G121">
        <v>1</v>
      </c>
      <c r="H121">
        <v>0</v>
      </c>
      <c r="L121">
        <v>4</v>
      </c>
      <c r="M121">
        <v>0</v>
      </c>
    </row>
    <row r="122" spans="1:13" ht="15.75" customHeight="1" x14ac:dyDescent="0.2">
      <c r="A122">
        <f t="shared" si="4"/>
        <v>1</v>
      </c>
      <c r="B122" t="s">
        <v>5</v>
      </c>
      <c r="C122" t="s">
        <v>158</v>
      </c>
      <c r="D122" t="s">
        <v>281</v>
      </c>
      <c r="E122" t="s">
        <v>254</v>
      </c>
      <c r="F122">
        <v>2005</v>
      </c>
      <c r="G122">
        <v>1</v>
      </c>
      <c r="H122">
        <v>0</v>
      </c>
      <c r="L122">
        <v>3</v>
      </c>
      <c r="M122">
        <v>0</v>
      </c>
    </row>
    <row r="123" spans="1:13" ht="15.75" customHeight="1" x14ac:dyDescent="0.2">
      <c r="A123">
        <f t="shared" si="4"/>
        <v>1</v>
      </c>
      <c r="B123" t="s">
        <v>5</v>
      </c>
      <c r="C123" t="s">
        <v>158</v>
      </c>
      <c r="D123" t="s">
        <v>281</v>
      </c>
      <c r="E123" t="s">
        <v>254</v>
      </c>
      <c r="F123">
        <v>2010</v>
      </c>
      <c r="G123">
        <v>1</v>
      </c>
      <c r="H123">
        <v>0</v>
      </c>
      <c r="L123">
        <v>2</v>
      </c>
      <c r="M123">
        <v>0</v>
      </c>
    </row>
    <row r="124" spans="1:13" ht="15.75" customHeight="1" x14ac:dyDescent="0.2">
      <c r="A124">
        <f t="shared" si="4"/>
        <v>0</v>
      </c>
      <c r="B124" s="97" t="s">
        <v>5</v>
      </c>
      <c r="C124" s="97"/>
      <c r="D124" s="97" t="s">
        <v>281</v>
      </c>
      <c r="E124" s="96" t="s">
        <v>486</v>
      </c>
      <c r="F124" s="97">
        <v>2014</v>
      </c>
      <c r="G124" s="97">
        <v>1</v>
      </c>
      <c r="H124" s="97">
        <v>0</v>
      </c>
      <c r="I124" s="97"/>
      <c r="J124" s="97"/>
      <c r="K124" s="97"/>
      <c r="L124" s="97">
        <v>1</v>
      </c>
      <c r="M124">
        <v>0</v>
      </c>
    </row>
    <row r="125" spans="1:13" ht="15.75" customHeight="1" x14ac:dyDescent="0.2">
      <c r="A125">
        <f t="shared" si="4"/>
        <v>1</v>
      </c>
      <c r="B125" t="s">
        <v>100</v>
      </c>
      <c r="C125" t="s">
        <v>95</v>
      </c>
      <c r="D125" t="s">
        <v>281</v>
      </c>
      <c r="E125" t="s">
        <v>254</v>
      </c>
      <c r="F125">
        <v>1991</v>
      </c>
      <c r="G125">
        <v>1</v>
      </c>
      <c r="H125">
        <v>1</v>
      </c>
      <c r="I125" t="str">
        <f>IF(H125=1,B125,"")</f>
        <v>Cameroon</v>
      </c>
      <c r="L125">
        <v>6</v>
      </c>
      <c r="M125">
        <v>1</v>
      </c>
    </row>
    <row r="126" spans="1:13" ht="15.75" customHeight="1" x14ac:dyDescent="0.2">
      <c r="A126">
        <f t="shared" si="4"/>
        <v>1</v>
      </c>
      <c r="B126" t="s">
        <v>100</v>
      </c>
      <c r="C126" t="s">
        <v>95</v>
      </c>
      <c r="D126" t="s">
        <v>281</v>
      </c>
      <c r="E126" t="s">
        <v>254</v>
      </c>
      <c r="F126">
        <v>1998</v>
      </c>
      <c r="G126">
        <v>1</v>
      </c>
      <c r="H126">
        <v>0</v>
      </c>
      <c r="L126">
        <v>5</v>
      </c>
      <c r="M126">
        <v>0</v>
      </c>
    </row>
    <row r="127" spans="1:13" ht="15.75" customHeight="1" x14ac:dyDescent="0.2">
      <c r="A127">
        <f t="shared" si="4"/>
        <v>1</v>
      </c>
      <c r="B127" t="s">
        <v>100</v>
      </c>
      <c r="C127" t="s">
        <v>95</v>
      </c>
      <c r="D127" t="s">
        <v>151</v>
      </c>
      <c r="E127">
        <v>2</v>
      </c>
      <c r="F127">
        <v>2000</v>
      </c>
      <c r="G127">
        <v>1</v>
      </c>
      <c r="H127">
        <v>1</v>
      </c>
      <c r="I127" t="str">
        <f>IF(H127=1,B127,"")</f>
        <v>Cameroon</v>
      </c>
      <c r="K127">
        <v>2000</v>
      </c>
      <c r="L127">
        <v>4</v>
      </c>
      <c r="M127">
        <v>0</v>
      </c>
    </row>
    <row r="128" spans="1:13" ht="15.75" customHeight="1" x14ac:dyDescent="0.2">
      <c r="A128">
        <f t="shared" si="4"/>
        <v>1</v>
      </c>
      <c r="B128" t="s">
        <v>100</v>
      </c>
      <c r="C128" t="s">
        <v>95</v>
      </c>
      <c r="D128" t="s">
        <v>281</v>
      </c>
      <c r="E128" t="s">
        <v>272</v>
      </c>
      <c r="F128">
        <v>2004</v>
      </c>
      <c r="G128">
        <v>1</v>
      </c>
      <c r="H128">
        <v>0</v>
      </c>
      <c r="L128">
        <v>3</v>
      </c>
      <c r="M128">
        <v>0</v>
      </c>
    </row>
    <row r="129" spans="1:17" ht="15.75" customHeight="1" x14ac:dyDescent="0.2">
      <c r="A129">
        <f t="shared" si="4"/>
        <v>1</v>
      </c>
      <c r="B129" t="s">
        <v>100</v>
      </c>
      <c r="C129" t="s">
        <v>95</v>
      </c>
      <c r="D129" t="s">
        <v>151</v>
      </c>
      <c r="E129">
        <v>3</v>
      </c>
      <c r="F129">
        <v>2006</v>
      </c>
      <c r="G129">
        <v>1</v>
      </c>
      <c r="H129">
        <v>0</v>
      </c>
      <c r="I129" t="str">
        <f>IF(H129=1,B129,"")</f>
        <v/>
      </c>
      <c r="K129">
        <v>2006</v>
      </c>
      <c r="L129">
        <v>2</v>
      </c>
      <c r="M129">
        <v>0</v>
      </c>
    </row>
    <row r="130" spans="1:17" x14ac:dyDescent="0.2">
      <c r="A130">
        <f t="shared" si="4"/>
        <v>0</v>
      </c>
      <c r="B130" t="s">
        <v>100</v>
      </c>
      <c r="C130" t="s">
        <v>95</v>
      </c>
      <c r="D130" t="s">
        <v>281</v>
      </c>
      <c r="E130" t="s">
        <v>254</v>
      </c>
      <c r="F130">
        <v>2011</v>
      </c>
      <c r="G130">
        <v>1</v>
      </c>
      <c r="H130">
        <v>0</v>
      </c>
      <c r="L130">
        <v>1</v>
      </c>
      <c r="M130">
        <v>0</v>
      </c>
    </row>
    <row r="131" spans="1:17" ht="15.75" customHeight="1" x14ac:dyDescent="0.2">
      <c r="A131">
        <f t="shared" si="4"/>
        <v>1</v>
      </c>
      <c r="B131" t="s">
        <v>101</v>
      </c>
      <c r="C131" t="s">
        <v>95</v>
      </c>
      <c r="D131" t="s">
        <v>281</v>
      </c>
      <c r="E131" t="s">
        <v>254</v>
      </c>
      <c r="F131">
        <v>2005</v>
      </c>
      <c r="G131">
        <v>1</v>
      </c>
      <c r="H131">
        <v>1</v>
      </c>
      <c r="I131" t="str">
        <f>IF(H131=1,B131,"")</f>
        <v>Cape Verde</v>
      </c>
      <c r="L131">
        <v>3</v>
      </c>
      <c r="M131">
        <v>1</v>
      </c>
    </row>
    <row r="132" spans="1:17" ht="15.75" customHeight="1" x14ac:dyDescent="0.2">
      <c r="A132">
        <f t="shared" si="4"/>
        <v>1</v>
      </c>
      <c r="B132" t="s">
        <v>101</v>
      </c>
      <c r="C132" t="s">
        <v>95</v>
      </c>
      <c r="D132" t="s">
        <v>304</v>
      </c>
      <c r="E132" t="s">
        <v>304</v>
      </c>
      <c r="F132">
        <v>2006</v>
      </c>
      <c r="G132">
        <v>1</v>
      </c>
      <c r="H132">
        <v>1</v>
      </c>
      <c r="I132" t="str">
        <f>IF(H132=1,B132,"")</f>
        <v>Cape Verde</v>
      </c>
      <c r="K132">
        <v>2006</v>
      </c>
      <c r="L132">
        <v>2</v>
      </c>
      <c r="M132">
        <v>0</v>
      </c>
    </row>
    <row r="133" spans="1:17" ht="15.75" customHeight="1" x14ac:dyDescent="0.2">
      <c r="A133">
        <f t="shared" si="4"/>
        <v>0</v>
      </c>
      <c r="B133" t="s">
        <v>101</v>
      </c>
      <c r="C133" t="s">
        <v>95</v>
      </c>
      <c r="D133" t="s">
        <v>304</v>
      </c>
      <c r="E133" t="s">
        <v>304</v>
      </c>
      <c r="F133">
        <v>2007</v>
      </c>
      <c r="G133">
        <v>1</v>
      </c>
      <c r="H133">
        <v>0</v>
      </c>
      <c r="K133">
        <v>2007</v>
      </c>
      <c r="L133">
        <v>1</v>
      </c>
      <c r="M133">
        <v>0</v>
      </c>
    </row>
    <row r="134" spans="1:17" ht="15.75" customHeight="1" x14ac:dyDescent="0.2">
      <c r="A134">
        <f t="shared" si="4"/>
        <v>1</v>
      </c>
      <c r="B134" t="s">
        <v>102</v>
      </c>
      <c r="C134" t="s">
        <v>95</v>
      </c>
      <c r="D134" t="s">
        <v>281</v>
      </c>
      <c r="E134" t="s">
        <v>254</v>
      </c>
      <c r="F134">
        <v>1994</v>
      </c>
      <c r="G134">
        <v>1</v>
      </c>
      <c r="H134">
        <v>1</v>
      </c>
      <c r="I134" t="str">
        <f t="shared" ref="I134:I139" si="6">IF(H134=1,B134,"")</f>
        <v>Central African Republic</v>
      </c>
      <c r="L134">
        <v>4</v>
      </c>
      <c r="M134">
        <v>1</v>
      </c>
    </row>
    <row r="135" spans="1:17" ht="15.75" customHeight="1" x14ac:dyDescent="0.2">
      <c r="A135">
        <f t="shared" si="4"/>
        <v>1</v>
      </c>
      <c r="B135" t="s">
        <v>102</v>
      </c>
      <c r="C135" t="s">
        <v>95</v>
      </c>
      <c r="D135" t="s">
        <v>151</v>
      </c>
      <c r="E135">
        <v>2</v>
      </c>
      <c r="F135">
        <v>2000</v>
      </c>
      <c r="G135">
        <v>1</v>
      </c>
      <c r="H135">
        <v>1</v>
      </c>
      <c r="I135" t="str">
        <f t="shared" si="6"/>
        <v>Central African Republic</v>
      </c>
      <c r="K135">
        <v>2000</v>
      </c>
      <c r="L135">
        <v>3</v>
      </c>
      <c r="M135">
        <v>0</v>
      </c>
    </row>
    <row r="136" spans="1:17" ht="15.75" customHeight="1" x14ac:dyDescent="0.2">
      <c r="A136">
        <f t="shared" si="4"/>
        <v>1</v>
      </c>
      <c r="B136" t="s">
        <v>102</v>
      </c>
      <c r="C136" t="s">
        <v>95</v>
      </c>
      <c r="D136" t="s">
        <v>151</v>
      </c>
      <c r="E136">
        <v>3</v>
      </c>
      <c r="F136">
        <v>2006</v>
      </c>
      <c r="G136">
        <v>1</v>
      </c>
      <c r="H136">
        <v>0</v>
      </c>
      <c r="I136" t="str">
        <f t="shared" si="6"/>
        <v/>
      </c>
      <c r="K136">
        <v>2006</v>
      </c>
      <c r="L136">
        <v>2</v>
      </c>
      <c r="M136">
        <v>0</v>
      </c>
    </row>
    <row r="137" spans="1:17" ht="15.75" customHeight="1" x14ac:dyDescent="0.2">
      <c r="A137">
        <f t="shared" ref="A137:A200" si="7">IF(B137=B138,1,0)</f>
        <v>0</v>
      </c>
      <c r="B137" t="s">
        <v>102</v>
      </c>
      <c r="C137" t="s">
        <v>95</v>
      </c>
      <c r="D137" t="s">
        <v>151</v>
      </c>
      <c r="E137">
        <v>4</v>
      </c>
      <c r="F137">
        <v>2010</v>
      </c>
      <c r="G137">
        <v>1</v>
      </c>
      <c r="H137">
        <v>0</v>
      </c>
      <c r="I137" t="str">
        <f t="shared" si="6"/>
        <v/>
      </c>
      <c r="K137">
        <v>2010</v>
      </c>
      <c r="L137">
        <v>1</v>
      </c>
      <c r="M137">
        <v>0</v>
      </c>
    </row>
    <row r="138" spans="1:17" ht="15.75" customHeight="1" x14ac:dyDescent="0.2">
      <c r="A138">
        <f t="shared" si="7"/>
        <v>1</v>
      </c>
      <c r="B138" t="s">
        <v>103</v>
      </c>
      <c r="C138" t="s">
        <v>95</v>
      </c>
      <c r="D138" t="s">
        <v>281</v>
      </c>
      <c r="E138" t="s">
        <v>254</v>
      </c>
      <c r="F138">
        <v>1997</v>
      </c>
      <c r="G138">
        <v>1</v>
      </c>
      <c r="H138">
        <v>1</v>
      </c>
      <c r="I138" t="str">
        <f t="shared" si="6"/>
        <v>Chad</v>
      </c>
      <c r="L138">
        <v>4</v>
      </c>
      <c r="M138">
        <v>1</v>
      </c>
    </row>
    <row r="139" spans="1:17" ht="15.75" customHeight="1" x14ac:dyDescent="0.2">
      <c r="A139">
        <f t="shared" si="7"/>
        <v>1</v>
      </c>
      <c r="B139" t="s">
        <v>103</v>
      </c>
      <c r="C139" t="s">
        <v>95</v>
      </c>
      <c r="D139" t="s">
        <v>151</v>
      </c>
      <c r="E139">
        <v>2</v>
      </c>
      <c r="F139">
        <v>2000</v>
      </c>
      <c r="G139">
        <v>1</v>
      </c>
      <c r="H139">
        <v>1</v>
      </c>
      <c r="I139" t="str">
        <f t="shared" si="6"/>
        <v>Chad</v>
      </c>
      <c r="K139">
        <v>2000</v>
      </c>
      <c r="L139">
        <v>3</v>
      </c>
      <c r="M139">
        <v>0</v>
      </c>
    </row>
    <row r="140" spans="1:17" ht="15.75" customHeight="1" x14ac:dyDescent="0.2">
      <c r="A140">
        <f t="shared" si="7"/>
        <v>1</v>
      </c>
      <c r="B140" t="s">
        <v>103</v>
      </c>
      <c r="C140" t="s">
        <v>95</v>
      </c>
      <c r="D140" t="s">
        <v>281</v>
      </c>
      <c r="E140" t="s">
        <v>254</v>
      </c>
      <c r="F140">
        <v>2004</v>
      </c>
      <c r="G140">
        <v>1</v>
      </c>
      <c r="H140">
        <v>0</v>
      </c>
      <c r="L140">
        <v>2</v>
      </c>
      <c r="M140">
        <v>0</v>
      </c>
    </row>
    <row r="141" spans="1:17" ht="15.75" customHeight="1" x14ac:dyDescent="0.2">
      <c r="A141">
        <f t="shared" si="7"/>
        <v>0</v>
      </c>
      <c r="B141" s="105" t="s">
        <v>103</v>
      </c>
      <c r="C141" s="105" t="s">
        <v>95</v>
      </c>
      <c r="D141" s="105" t="s">
        <v>151</v>
      </c>
      <c r="E141" s="105">
        <v>4</v>
      </c>
      <c r="F141" s="105">
        <v>2010</v>
      </c>
      <c r="G141" s="105">
        <v>1</v>
      </c>
      <c r="H141" s="105">
        <v>0</v>
      </c>
      <c r="I141" s="105" t="str">
        <f>IF(H141=1,B141,"")</f>
        <v/>
      </c>
      <c r="J141" s="105"/>
      <c r="K141" s="105">
        <v>2010</v>
      </c>
      <c r="L141" s="105">
        <v>1</v>
      </c>
      <c r="M141" s="105">
        <v>0</v>
      </c>
      <c r="N141" s="107"/>
      <c r="O141" s="107"/>
      <c r="P141" s="107"/>
      <c r="Q141" s="105"/>
    </row>
    <row r="142" spans="1:17" ht="15.75" customHeight="1" x14ac:dyDescent="0.2">
      <c r="A142">
        <f t="shared" si="7"/>
        <v>0</v>
      </c>
      <c r="B142" t="s">
        <v>7</v>
      </c>
      <c r="C142" t="s">
        <v>158</v>
      </c>
      <c r="D142" t="s">
        <v>244</v>
      </c>
      <c r="E142" t="s">
        <v>211</v>
      </c>
      <c r="F142">
        <v>1995</v>
      </c>
      <c r="G142">
        <v>1</v>
      </c>
      <c r="H142">
        <v>1</v>
      </c>
      <c r="I142" t="str">
        <f>IF(H142=1,B142,"")</f>
        <v>China</v>
      </c>
      <c r="J142" t="s">
        <v>456</v>
      </c>
      <c r="L142">
        <v>1</v>
      </c>
      <c r="M142">
        <v>1</v>
      </c>
    </row>
    <row r="143" spans="1:17" ht="15.75" customHeight="1" x14ac:dyDescent="0.2">
      <c r="A143">
        <f t="shared" si="7"/>
        <v>1</v>
      </c>
      <c r="B143" t="s">
        <v>54</v>
      </c>
      <c r="C143" t="s">
        <v>469</v>
      </c>
      <c r="D143" t="s">
        <v>281</v>
      </c>
      <c r="E143" t="s">
        <v>254</v>
      </c>
      <c r="F143">
        <v>1986</v>
      </c>
      <c r="G143">
        <v>1</v>
      </c>
      <c r="H143">
        <v>1</v>
      </c>
      <c r="I143" t="str">
        <f>IF(H143=1,B143,"")</f>
        <v>Colombia</v>
      </c>
      <c r="L143">
        <v>6</v>
      </c>
      <c r="M143">
        <v>1</v>
      </c>
    </row>
    <row r="144" spans="1:17" x14ac:dyDescent="0.2">
      <c r="A144">
        <f t="shared" si="7"/>
        <v>1</v>
      </c>
      <c r="B144" t="s">
        <v>54</v>
      </c>
      <c r="C144" t="s">
        <v>469</v>
      </c>
      <c r="D144" t="s">
        <v>281</v>
      </c>
      <c r="E144" t="s">
        <v>254</v>
      </c>
      <c r="F144">
        <v>1990</v>
      </c>
      <c r="G144">
        <v>1</v>
      </c>
      <c r="H144">
        <v>0</v>
      </c>
      <c r="L144">
        <v>5</v>
      </c>
      <c r="M144">
        <v>0</v>
      </c>
    </row>
    <row r="145" spans="1:17" ht="15.75" customHeight="1" x14ac:dyDescent="0.2">
      <c r="A145">
        <f t="shared" si="7"/>
        <v>1</v>
      </c>
      <c r="B145" t="s">
        <v>54</v>
      </c>
      <c r="C145" t="s">
        <v>469</v>
      </c>
      <c r="D145" t="s">
        <v>281</v>
      </c>
      <c r="E145" t="s">
        <v>254</v>
      </c>
      <c r="F145">
        <v>1995</v>
      </c>
      <c r="G145">
        <v>1</v>
      </c>
      <c r="H145">
        <v>0</v>
      </c>
      <c r="L145">
        <v>4</v>
      </c>
      <c r="M145">
        <v>0</v>
      </c>
    </row>
    <row r="146" spans="1:17" ht="15.75" customHeight="1" x14ac:dyDescent="0.2">
      <c r="A146">
        <f t="shared" si="7"/>
        <v>1</v>
      </c>
      <c r="B146" t="s">
        <v>54</v>
      </c>
      <c r="C146" t="s">
        <v>469</v>
      </c>
      <c r="D146" t="s">
        <v>281</v>
      </c>
      <c r="E146" t="s">
        <v>254</v>
      </c>
      <c r="F146">
        <v>2000</v>
      </c>
      <c r="G146">
        <v>1</v>
      </c>
      <c r="H146">
        <v>0</v>
      </c>
      <c r="L146">
        <v>3</v>
      </c>
      <c r="M146">
        <v>0</v>
      </c>
    </row>
    <row r="147" spans="1:17" ht="15.75" customHeight="1" x14ac:dyDescent="0.2">
      <c r="A147">
        <f t="shared" si="7"/>
        <v>1</v>
      </c>
      <c r="B147" t="s">
        <v>54</v>
      </c>
      <c r="C147" t="s">
        <v>469</v>
      </c>
      <c r="D147" t="s">
        <v>281</v>
      </c>
      <c r="E147" t="s">
        <v>254</v>
      </c>
      <c r="F147">
        <v>2005</v>
      </c>
      <c r="G147">
        <v>1</v>
      </c>
      <c r="H147">
        <v>0</v>
      </c>
      <c r="L147">
        <v>2</v>
      </c>
      <c r="M147">
        <v>0</v>
      </c>
    </row>
    <row r="148" spans="1:17" ht="15.75" customHeight="1" x14ac:dyDescent="0.2">
      <c r="A148">
        <f t="shared" si="7"/>
        <v>0</v>
      </c>
      <c r="B148" t="s">
        <v>54</v>
      </c>
      <c r="C148" t="s">
        <v>469</v>
      </c>
      <c r="D148" t="s">
        <v>281</v>
      </c>
      <c r="E148" t="s">
        <v>252</v>
      </c>
      <c r="F148">
        <v>2010</v>
      </c>
      <c r="G148">
        <v>1</v>
      </c>
      <c r="H148">
        <v>0</v>
      </c>
      <c r="L148">
        <v>1</v>
      </c>
      <c r="M148">
        <v>0</v>
      </c>
    </row>
    <row r="149" spans="1:17" x14ac:dyDescent="0.2">
      <c r="A149">
        <f t="shared" si="7"/>
        <v>1</v>
      </c>
      <c r="B149" t="s">
        <v>104</v>
      </c>
      <c r="C149" t="s">
        <v>95</v>
      </c>
      <c r="D149" t="s">
        <v>281</v>
      </c>
      <c r="E149" t="s">
        <v>254</v>
      </c>
      <c r="F149">
        <v>1996</v>
      </c>
      <c r="G149">
        <v>1</v>
      </c>
      <c r="H149">
        <v>1</v>
      </c>
      <c r="I149" t="str">
        <f>IF(H149=1,B149,"")</f>
        <v>Comoros</v>
      </c>
      <c r="L149">
        <v>3</v>
      </c>
      <c r="M149">
        <v>1</v>
      </c>
    </row>
    <row r="150" spans="1:17" ht="15.75" customHeight="1" x14ac:dyDescent="0.2">
      <c r="A150">
        <f t="shared" si="7"/>
        <v>1</v>
      </c>
      <c r="B150" t="s">
        <v>104</v>
      </c>
      <c r="C150" t="s">
        <v>95</v>
      </c>
      <c r="D150" t="s">
        <v>151</v>
      </c>
      <c r="E150">
        <v>2</v>
      </c>
      <c r="F150">
        <v>2000</v>
      </c>
      <c r="G150">
        <v>1</v>
      </c>
      <c r="H150">
        <v>1</v>
      </c>
      <c r="I150" t="str">
        <f>IF(H150=1,B150,"")</f>
        <v>Comoros</v>
      </c>
      <c r="K150">
        <v>2000</v>
      </c>
      <c r="L150">
        <v>2</v>
      </c>
      <c r="M150">
        <v>0</v>
      </c>
    </row>
    <row r="151" spans="1:17" ht="15.75" customHeight="1" x14ac:dyDescent="0.2">
      <c r="A151">
        <f t="shared" si="7"/>
        <v>0</v>
      </c>
      <c r="B151" s="105" t="s">
        <v>104</v>
      </c>
      <c r="C151" s="105" t="s">
        <v>95</v>
      </c>
      <c r="D151" s="105" t="s">
        <v>281</v>
      </c>
      <c r="E151" s="105" t="s">
        <v>252</v>
      </c>
      <c r="F151" s="105">
        <v>2012</v>
      </c>
      <c r="G151" s="105">
        <v>1</v>
      </c>
      <c r="H151" s="105">
        <v>0</v>
      </c>
      <c r="I151" s="105"/>
      <c r="J151" s="105"/>
      <c r="K151" s="105"/>
      <c r="L151" s="105">
        <v>1</v>
      </c>
      <c r="M151" s="105">
        <v>0</v>
      </c>
      <c r="N151" s="107"/>
      <c r="O151" s="107"/>
      <c r="P151" s="107"/>
      <c r="Q151" s="105"/>
    </row>
    <row r="152" spans="1:17" ht="15.75" customHeight="1" x14ac:dyDescent="0.2">
      <c r="A152">
        <f t="shared" si="7"/>
        <v>1</v>
      </c>
      <c r="B152" t="s">
        <v>285</v>
      </c>
      <c r="C152" t="s">
        <v>95</v>
      </c>
      <c r="D152" t="s">
        <v>281</v>
      </c>
      <c r="E152" t="s">
        <v>257</v>
      </c>
      <c r="F152">
        <v>2005</v>
      </c>
      <c r="G152">
        <v>1</v>
      </c>
      <c r="H152">
        <v>1</v>
      </c>
      <c r="I152" t="str">
        <f>IF(H152=1,B152,"")</f>
        <v>Congo Brazzaville</v>
      </c>
      <c r="L152">
        <v>4</v>
      </c>
      <c r="M152">
        <v>1</v>
      </c>
    </row>
    <row r="153" spans="1:17" x14ac:dyDescent="0.2">
      <c r="A153">
        <f t="shared" si="7"/>
        <v>1</v>
      </c>
      <c r="B153" t="s">
        <v>285</v>
      </c>
      <c r="C153" t="s">
        <v>95</v>
      </c>
      <c r="D153" t="s">
        <v>281</v>
      </c>
      <c r="E153" t="s">
        <v>252</v>
      </c>
      <c r="F153">
        <v>2009</v>
      </c>
      <c r="G153">
        <v>1</v>
      </c>
      <c r="H153">
        <v>1</v>
      </c>
      <c r="I153" t="str">
        <f>IF(H153=1,B153,"")</f>
        <v>Congo Brazzaville</v>
      </c>
      <c r="L153">
        <v>3</v>
      </c>
      <c r="M153">
        <v>0</v>
      </c>
    </row>
    <row r="154" spans="1:17" ht="15.75" customHeight="1" x14ac:dyDescent="0.2">
      <c r="A154">
        <f t="shared" si="7"/>
        <v>1</v>
      </c>
      <c r="B154" t="s">
        <v>285</v>
      </c>
      <c r="C154" t="s">
        <v>95</v>
      </c>
      <c r="D154" t="s">
        <v>281</v>
      </c>
      <c r="E154" t="s">
        <v>252</v>
      </c>
      <c r="F154">
        <v>2011</v>
      </c>
      <c r="G154">
        <v>1</v>
      </c>
      <c r="H154">
        <v>0</v>
      </c>
      <c r="L154">
        <v>2</v>
      </c>
      <c r="M154">
        <v>0</v>
      </c>
    </row>
    <row r="155" spans="1:17" ht="15.75" customHeight="1" x14ac:dyDescent="0.2">
      <c r="A155">
        <f t="shared" si="7"/>
        <v>0</v>
      </c>
      <c r="B155" t="s">
        <v>285</v>
      </c>
      <c r="C155" t="s">
        <v>95</v>
      </c>
      <c r="D155" t="s">
        <v>281</v>
      </c>
      <c r="E155" t="s">
        <v>254</v>
      </c>
      <c r="F155">
        <v>2013</v>
      </c>
      <c r="G155">
        <v>1</v>
      </c>
      <c r="H155">
        <v>0</v>
      </c>
      <c r="L155">
        <v>1</v>
      </c>
      <c r="M155">
        <v>0</v>
      </c>
    </row>
    <row r="156" spans="1:17" ht="15.75" customHeight="1" x14ac:dyDescent="0.2">
      <c r="A156">
        <f t="shared" si="7"/>
        <v>1</v>
      </c>
      <c r="B156" t="s">
        <v>176</v>
      </c>
      <c r="D156" t="s">
        <v>151</v>
      </c>
      <c r="E156">
        <v>1</v>
      </c>
      <c r="F156">
        <v>1995</v>
      </c>
      <c r="G156">
        <v>1</v>
      </c>
      <c r="H156">
        <v>1</v>
      </c>
      <c r="I156" t="str">
        <f>IF(H156=1,B156,"")</f>
        <v>Congo, Democratic Republic of the</v>
      </c>
      <c r="L156">
        <v>6</v>
      </c>
      <c r="M156">
        <v>1</v>
      </c>
    </row>
    <row r="157" spans="1:17" ht="15.75" customHeight="1" x14ac:dyDescent="0.2">
      <c r="A157">
        <f t="shared" si="7"/>
        <v>1</v>
      </c>
      <c r="B157" t="s">
        <v>176</v>
      </c>
      <c r="C157" t="s">
        <v>95</v>
      </c>
      <c r="D157" t="s">
        <v>151</v>
      </c>
      <c r="E157">
        <v>2</v>
      </c>
      <c r="F157">
        <v>2001</v>
      </c>
      <c r="G157">
        <v>1</v>
      </c>
      <c r="H157">
        <v>0</v>
      </c>
      <c r="I157" t="str">
        <f>IF(H157=1,B157,"")</f>
        <v/>
      </c>
      <c r="K157">
        <v>2001</v>
      </c>
      <c r="L157">
        <v>5</v>
      </c>
      <c r="M157">
        <v>0</v>
      </c>
    </row>
    <row r="158" spans="1:17" ht="15.75" customHeight="1" x14ac:dyDescent="0.2">
      <c r="A158">
        <f t="shared" si="7"/>
        <v>1</v>
      </c>
      <c r="B158" t="s">
        <v>176</v>
      </c>
      <c r="C158" t="s">
        <v>95</v>
      </c>
      <c r="D158" t="s">
        <v>304</v>
      </c>
      <c r="E158" t="s">
        <v>427</v>
      </c>
      <c r="F158">
        <v>2005</v>
      </c>
      <c r="G158">
        <v>1</v>
      </c>
      <c r="H158">
        <v>1</v>
      </c>
      <c r="I158" t="str">
        <f>IF(H158=1,B158,"")</f>
        <v>Congo, Democratic Republic of the</v>
      </c>
      <c r="K158">
        <v>2005</v>
      </c>
      <c r="L158">
        <v>4</v>
      </c>
      <c r="M158">
        <v>0</v>
      </c>
    </row>
    <row r="159" spans="1:17" ht="15.75" customHeight="1" x14ac:dyDescent="0.2">
      <c r="A159">
        <f t="shared" si="7"/>
        <v>1</v>
      </c>
      <c r="B159" t="s">
        <v>176</v>
      </c>
      <c r="C159" t="s">
        <v>95</v>
      </c>
      <c r="D159" t="s">
        <v>281</v>
      </c>
      <c r="E159" t="s">
        <v>250</v>
      </c>
      <c r="F159">
        <v>2007</v>
      </c>
      <c r="G159">
        <v>1</v>
      </c>
      <c r="H159">
        <v>1</v>
      </c>
      <c r="I159" t="str">
        <f>IF(H159=1,B159,"")</f>
        <v>Congo, Democratic Republic of the</v>
      </c>
      <c r="K159">
        <v>2007</v>
      </c>
      <c r="L159">
        <v>3</v>
      </c>
      <c r="M159">
        <v>0</v>
      </c>
    </row>
    <row r="160" spans="1:17" ht="15.75" customHeight="1" x14ac:dyDescent="0.2">
      <c r="A160">
        <f t="shared" si="7"/>
        <v>1</v>
      </c>
      <c r="B160" t="s">
        <v>176</v>
      </c>
      <c r="C160" t="s">
        <v>95</v>
      </c>
      <c r="D160" t="s">
        <v>151</v>
      </c>
      <c r="E160">
        <v>4</v>
      </c>
      <c r="F160">
        <v>2010</v>
      </c>
      <c r="G160">
        <v>1</v>
      </c>
      <c r="H160">
        <v>0</v>
      </c>
      <c r="I160" t="str">
        <f>IF(H160=1,B160,"")</f>
        <v/>
      </c>
      <c r="K160">
        <v>2010</v>
      </c>
      <c r="L160">
        <v>2</v>
      </c>
      <c r="M160">
        <v>0</v>
      </c>
    </row>
    <row r="161" spans="1:13" x14ac:dyDescent="0.2">
      <c r="A161">
        <f t="shared" si="7"/>
        <v>0</v>
      </c>
      <c r="B161" s="105" t="s">
        <v>176</v>
      </c>
      <c r="C161" s="105"/>
      <c r="D161" s="105" t="s">
        <v>281</v>
      </c>
      <c r="E161" s="108" t="s">
        <v>281</v>
      </c>
      <c r="F161" s="105">
        <v>2014</v>
      </c>
      <c r="G161" s="105">
        <v>1</v>
      </c>
      <c r="H161" s="105">
        <v>0</v>
      </c>
      <c r="I161" s="105"/>
      <c r="J161" s="105"/>
      <c r="K161" s="105">
        <v>2013</v>
      </c>
      <c r="L161" s="105">
        <v>1</v>
      </c>
      <c r="M161" s="105">
        <v>0</v>
      </c>
    </row>
    <row r="162" spans="1:13" ht="15.75" customHeight="1" x14ac:dyDescent="0.2">
      <c r="A162">
        <f t="shared" si="7"/>
        <v>0</v>
      </c>
      <c r="B162" t="s">
        <v>55</v>
      </c>
      <c r="C162" t="s">
        <v>469</v>
      </c>
      <c r="D162" t="s">
        <v>151</v>
      </c>
      <c r="E162">
        <v>4</v>
      </c>
      <c r="F162">
        <v>2011</v>
      </c>
      <c r="G162">
        <v>1</v>
      </c>
      <c r="H162">
        <v>1</v>
      </c>
      <c r="I162" t="str">
        <f>IF(H162=1,B162,"")</f>
        <v>Costa Rica</v>
      </c>
      <c r="K162">
        <v>2011</v>
      </c>
      <c r="L162">
        <v>1</v>
      </c>
      <c r="M162">
        <v>1</v>
      </c>
    </row>
    <row r="163" spans="1:13" ht="15.75" customHeight="1" x14ac:dyDescent="0.2">
      <c r="A163">
        <f t="shared" si="7"/>
        <v>1</v>
      </c>
      <c r="B163" t="s">
        <v>246</v>
      </c>
      <c r="C163" t="s">
        <v>95</v>
      </c>
      <c r="D163" t="s">
        <v>244</v>
      </c>
      <c r="E163" t="s">
        <v>212</v>
      </c>
      <c r="F163">
        <v>1985</v>
      </c>
      <c r="G163">
        <v>1</v>
      </c>
      <c r="H163">
        <v>1</v>
      </c>
      <c r="I163" t="str">
        <f>IF(H163=1,B163,"")</f>
        <v>Côte d’Ivoire</v>
      </c>
      <c r="L163">
        <v>10</v>
      </c>
      <c r="M163">
        <v>1</v>
      </c>
    </row>
    <row r="164" spans="1:13" ht="15.75" customHeight="1" x14ac:dyDescent="0.2">
      <c r="A164">
        <f t="shared" si="7"/>
        <v>1</v>
      </c>
      <c r="B164" t="s">
        <v>246</v>
      </c>
      <c r="C164" t="s">
        <v>95</v>
      </c>
      <c r="D164" t="s">
        <v>244</v>
      </c>
      <c r="E164" t="s">
        <v>212</v>
      </c>
      <c r="F164">
        <v>1986</v>
      </c>
      <c r="G164">
        <v>1</v>
      </c>
      <c r="H164">
        <v>0</v>
      </c>
      <c r="L164">
        <v>9</v>
      </c>
      <c r="M164">
        <v>0</v>
      </c>
    </row>
    <row r="165" spans="1:13" ht="15.75" customHeight="1" x14ac:dyDescent="0.2">
      <c r="A165">
        <f t="shared" si="7"/>
        <v>1</v>
      </c>
      <c r="B165" t="s">
        <v>246</v>
      </c>
      <c r="C165" t="s">
        <v>95</v>
      </c>
      <c r="D165" t="s">
        <v>244</v>
      </c>
      <c r="E165" t="s">
        <v>212</v>
      </c>
      <c r="F165">
        <v>1987</v>
      </c>
      <c r="G165">
        <v>1</v>
      </c>
      <c r="H165">
        <v>0</v>
      </c>
      <c r="L165">
        <v>8</v>
      </c>
      <c r="M165">
        <v>0</v>
      </c>
    </row>
    <row r="166" spans="1:13" ht="15.75" customHeight="1" x14ac:dyDescent="0.2">
      <c r="A166">
        <f t="shared" si="7"/>
        <v>1</v>
      </c>
      <c r="B166" t="s">
        <v>246</v>
      </c>
      <c r="C166" t="s">
        <v>95</v>
      </c>
      <c r="D166" t="s">
        <v>244</v>
      </c>
      <c r="E166" t="s">
        <v>212</v>
      </c>
      <c r="F166">
        <v>1988</v>
      </c>
      <c r="G166">
        <v>1</v>
      </c>
      <c r="H166">
        <v>0</v>
      </c>
      <c r="L166">
        <v>7</v>
      </c>
      <c r="M166">
        <v>0</v>
      </c>
    </row>
    <row r="167" spans="1:13" ht="15.75" customHeight="1" x14ac:dyDescent="0.2">
      <c r="A167">
        <f t="shared" si="7"/>
        <v>1</v>
      </c>
      <c r="B167" t="s">
        <v>246</v>
      </c>
      <c r="C167" t="s">
        <v>95</v>
      </c>
      <c r="D167" t="s">
        <v>281</v>
      </c>
      <c r="E167" t="s">
        <v>252</v>
      </c>
      <c r="F167">
        <v>1994</v>
      </c>
      <c r="G167">
        <v>1</v>
      </c>
      <c r="H167">
        <v>1</v>
      </c>
      <c r="I167" t="str">
        <f>IF(H167=1,B167,"")</f>
        <v>Côte d’Ivoire</v>
      </c>
      <c r="L167">
        <v>6</v>
      </c>
      <c r="M167">
        <v>0</v>
      </c>
    </row>
    <row r="168" spans="1:13" ht="15.75" customHeight="1" x14ac:dyDescent="0.2">
      <c r="A168">
        <f t="shared" si="7"/>
        <v>1</v>
      </c>
      <c r="B168" t="s">
        <v>246</v>
      </c>
      <c r="C168" t="s">
        <v>95</v>
      </c>
      <c r="D168" t="s">
        <v>281</v>
      </c>
      <c r="E168" t="s">
        <v>252</v>
      </c>
      <c r="F168">
        <v>1998</v>
      </c>
      <c r="G168">
        <v>1</v>
      </c>
      <c r="H168">
        <v>0</v>
      </c>
      <c r="L168">
        <v>5</v>
      </c>
      <c r="M168">
        <v>0</v>
      </c>
    </row>
    <row r="169" spans="1:13" ht="15.75" customHeight="1" x14ac:dyDescent="0.2">
      <c r="A169">
        <f t="shared" si="7"/>
        <v>1</v>
      </c>
      <c r="B169" t="s">
        <v>246</v>
      </c>
      <c r="C169" t="s">
        <v>95</v>
      </c>
      <c r="D169" t="s">
        <v>151</v>
      </c>
      <c r="E169">
        <v>2</v>
      </c>
      <c r="F169">
        <v>2000</v>
      </c>
      <c r="G169">
        <v>1</v>
      </c>
      <c r="H169">
        <v>1</v>
      </c>
      <c r="I169" t="str">
        <f>IF(H169=1,B169,"")</f>
        <v>Côte d’Ivoire</v>
      </c>
      <c r="K169">
        <v>2000</v>
      </c>
      <c r="L169">
        <v>4</v>
      </c>
      <c r="M169">
        <v>0</v>
      </c>
    </row>
    <row r="170" spans="1:13" ht="15.75" customHeight="1" x14ac:dyDescent="0.2">
      <c r="A170">
        <f t="shared" si="7"/>
        <v>1</v>
      </c>
      <c r="B170" t="s">
        <v>246</v>
      </c>
      <c r="C170" t="s">
        <v>95</v>
      </c>
      <c r="D170" t="s">
        <v>281</v>
      </c>
      <c r="E170" t="s">
        <v>250</v>
      </c>
      <c r="F170">
        <v>2005</v>
      </c>
      <c r="G170">
        <v>1</v>
      </c>
      <c r="H170">
        <v>0</v>
      </c>
      <c r="L170">
        <v>3</v>
      </c>
      <c r="M170">
        <v>0</v>
      </c>
    </row>
    <row r="171" spans="1:13" ht="15.75" customHeight="1" x14ac:dyDescent="0.2">
      <c r="A171">
        <f t="shared" si="7"/>
        <v>1</v>
      </c>
      <c r="B171" t="s">
        <v>246</v>
      </c>
      <c r="C171" t="s">
        <v>95</v>
      </c>
      <c r="D171" t="s">
        <v>151</v>
      </c>
      <c r="E171">
        <v>3</v>
      </c>
      <c r="F171">
        <v>2006</v>
      </c>
      <c r="G171">
        <v>1</v>
      </c>
      <c r="H171">
        <v>0</v>
      </c>
      <c r="I171" t="str">
        <f>IF(H171=1,B171,"")</f>
        <v/>
      </c>
      <c r="K171">
        <v>2006</v>
      </c>
      <c r="L171">
        <v>2</v>
      </c>
      <c r="M171">
        <v>0</v>
      </c>
    </row>
    <row r="172" spans="1:13" ht="16.5" customHeight="1" x14ac:dyDescent="0.2">
      <c r="A172">
        <f t="shared" si="7"/>
        <v>0</v>
      </c>
      <c r="B172" t="s">
        <v>246</v>
      </c>
      <c r="C172" t="s">
        <v>95</v>
      </c>
      <c r="D172" t="s">
        <v>281</v>
      </c>
      <c r="E172" t="s">
        <v>260</v>
      </c>
      <c r="F172">
        <v>2012</v>
      </c>
      <c r="G172">
        <v>1</v>
      </c>
      <c r="H172">
        <v>0</v>
      </c>
      <c r="L172">
        <v>1</v>
      </c>
      <c r="M172">
        <v>0</v>
      </c>
    </row>
    <row r="173" spans="1:13" ht="15.75" customHeight="1" x14ac:dyDescent="0.2">
      <c r="A173">
        <f t="shared" si="7"/>
        <v>1</v>
      </c>
      <c r="B173" t="s">
        <v>173</v>
      </c>
      <c r="C173" t="s">
        <v>469</v>
      </c>
      <c r="D173" t="s">
        <v>151</v>
      </c>
      <c r="E173">
        <v>2</v>
      </c>
      <c r="F173">
        <v>2000</v>
      </c>
      <c r="G173">
        <v>1</v>
      </c>
      <c r="H173">
        <v>1</v>
      </c>
      <c r="I173" t="str">
        <f>IF(H173=1,B173,"")</f>
        <v>Cuba</v>
      </c>
      <c r="K173">
        <v>2000</v>
      </c>
      <c r="L173">
        <v>4</v>
      </c>
      <c r="M173">
        <v>1</v>
      </c>
    </row>
    <row r="174" spans="1:13" ht="15.75" customHeight="1" x14ac:dyDescent="0.2">
      <c r="A174">
        <f t="shared" si="7"/>
        <v>1</v>
      </c>
      <c r="B174" t="s">
        <v>173</v>
      </c>
      <c r="C174" t="s">
        <v>469</v>
      </c>
      <c r="D174" t="s">
        <v>151</v>
      </c>
      <c r="E174">
        <v>3</v>
      </c>
      <c r="F174">
        <v>2006</v>
      </c>
      <c r="G174">
        <v>1</v>
      </c>
      <c r="H174">
        <v>0</v>
      </c>
      <c r="I174" t="str">
        <f>IF(H174=1,B174,"")</f>
        <v/>
      </c>
      <c r="K174">
        <v>2006</v>
      </c>
      <c r="L174">
        <v>3</v>
      </c>
      <c r="M174">
        <v>0</v>
      </c>
    </row>
    <row r="175" spans="1:13" ht="15.75" customHeight="1" x14ac:dyDescent="0.2">
      <c r="A175">
        <f t="shared" si="7"/>
        <v>1</v>
      </c>
      <c r="B175" t="s">
        <v>173</v>
      </c>
      <c r="C175" t="s">
        <v>469</v>
      </c>
      <c r="D175" t="s">
        <v>151</v>
      </c>
      <c r="E175">
        <v>4</v>
      </c>
      <c r="F175">
        <v>2011</v>
      </c>
      <c r="G175">
        <v>1</v>
      </c>
      <c r="H175">
        <v>0</v>
      </c>
      <c r="I175" t="str">
        <f>IF(H175=1,B175,"")</f>
        <v/>
      </c>
      <c r="K175">
        <v>2010</v>
      </c>
      <c r="L175">
        <v>2</v>
      </c>
      <c r="M175">
        <v>0</v>
      </c>
    </row>
    <row r="176" spans="1:13" ht="15.75" customHeight="1" x14ac:dyDescent="0.2">
      <c r="A176">
        <f t="shared" si="7"/>
        <v>0</v>
      </c>
      <c r="B176" s="97" t="s">
        <v>173</v>
      </c>
      <c r="C176" s="96" t="s">
        <v>172</v>
      </c>
      <c r="D176" s="98" t="s">
        <v>151</v>
      </c>
      <c r="E176" s="104"/>
      <c r="F176" s="98">
        <v>2014</v>
      </c>
      <c r="G176" s="99">
        <v>1</v>
      </c>
      <c r="H176" s="98">
        <v>0</v>
      </c>
      <c r="I176" s="97"/>
      <c r="J176" s="97"/>
      <c r="K176" s="98">
        <v>2014</v>
      </c>
      <c r="L176" s="97">
        <v>1</v>
      </c>
      <c r="M176">
        <v>0</v>
      </c>
    </row>
    <row r="177" spans="1:13" ht="15.75" customHeight="1" x14ac:dyDescent="0.2">
      <c r="A177">
        <f t="shared" si="7"/>
        <v>1</v>
      </c>
      <c r="B177" t="s">
        <v>76</v>
      </c>
      <c r="C177" t="s">
        <v>95</v>
      </c>
      <c r="D177" t="s">
        <v>380</v>
      </c>
      <c r="E177" t="s">
        <v>326</v>
      </c>
      <c r="F177">
        <v>2002</v>
      </c>
      <c r="G177">
        <v>1</v>
      </c>
      <c r="H177">
        <v>1</v>
      </c>
      <c r="I177" t="str">
        <f>IF(H177=1,B177,"")</f>
        <v>Djibouti</v>
      </c>
      <c r="K177">
        <v>2002</v>
      </c>
      <c r="L177">
        <v>2</v>
      </c>
      <c r="M177">
        <v>1</v>
      </c>
    </row>
    <row r="178" spans="1:13" ht="15.75" customHeight="1" x14ac:dyDescent="0.2">
      <c r="A178">
        <f t="shared" si="7"/>
        <v>0</v>
      </c>
      <c r="B178" t="s">
        <v>76</v>
      </c>
      <c r="C178" t="s">
        <v>95</v>
      </c>
      <c r="D178" t="s">
        <v>151</v>
      </c>
      <c r="E178">
        <v>3</v>
      </c>
      <c r="F178">
        <v>2006</v>
      </c>
      <c r="G178">
        <v>1</v>
      </c>
      <c r="H178">
        <v>1</v>
      </c>
      <c r="I178" t="str">
        <f>IF(H178=1,B178,"")</f>
        <v>Djibouti</v>
      </c>
      <c r="K178">
        <v>2006</v>
      </c>
      <c r="L178">
        <v>1</v>
      </c>
      <c r="M178">
        <v>0</v>
      </c>
    </row>
    <row r="179" spans="1:13" ht="15.75" customHeight="1" x14ac:dyDescent="0.2">
      <c r="A179">
        <f t="shared" si="7"/>
        <v>1</v>
      </c>
      <c r="B179" s="43" t="s">
        <v>56</v>
      </c>
      <c r="C179" t="s">
        <v>469</v>
      </c>
      <c r="D179" t="s">
        <v>281</v>
      </c>
      <c r="E179" t="s">
        <v>252</v>
      </c>
      <c r="F179">
        <v>1986</v>
      </c>
      <c r="G179">
        <v>1</v>
      </c>
      <c r="H179">
        <v>1</v>
      </c>
      <c r="I179" t="str">
        <f>IF(H179=1,B179,"")</f>
        <v>Dominican Republic</v>
      </c>
      <c r="L179">
        <v>11</v>
      </c>
      <c r="M179">
        <v>1</v>
      </c>
    </row>
    <row r="180" spans="1:13" ht="15.75" customHeight="1" x14ac:dyDescent="0.2">
      <c r="A180">
        <f t="shared" si="7"/>
        <v>1</v>
      </c>
      <c r="B180" s="43" t="s">
        <v>56</v>
      </c>
      <c r="C180" t="s">
        <v>469</v>
      </c>
      <c r="D180" t="s">
        <v>281</v>
      </c>
      <c r="E180" t="s">
        <v>262</v>
      </c>
      <c r="F180">
        <v>1986</v>
      </c>
      <c r="G180">
        <v>1</v>
      </c>
      <c r="H180">
        <v>0</v>
      </c>
      <c r="L180">
        <v>10</v>
      </c>
      <c r="M180">
        <v>0</v>
      </c>
    </row>
    <row r="181" spans="1:13" ht="15.75" customHeight="1" x14ac:dyDescent="0.2">
      <c r="A181">
        <f t="shared" si="7"/>
        <v>1</v>
      </c>
      <c r="B181" s="43" t="s">
        <v>56</v>
      </c>
      <c r="C181" t="s">
        <v>469</v>
      </c>
      <c r="D181" t="s">
        <v>281</v>
      </c>
      <c r="E181" t="s">
        <v>252</v>
      </c>
      <c r="F181">
        <v>1991</v>
      </c>
      <c r="G181">
        <v>1</v>
      </c>
      <c r="H181">
        <v>0</v>
      </c>
      <c r="L181">
        <v>9</v>
      </c>
      <c r="M181">
        <v>0</v>
      </c>
    </row>
    <row r="182" spans="1:13" ht="15.75" customHeight="1" x14ac:dyDescent="0.2">
      <c r="A182">
        <f t="shared" si="7"/>
        <v>1</v>
      </c>
      <c r="B182" s="43" t="s">
        <v>56</v>
      </c>
      <c r="C182" t="s">
        <v>469</v>
      </c>
      <c r="D182" t="s">
        <v>281</v>
      </c>
      <c r="E182" t="s">
        <v>252</v>
      </c>
      <c r="F182">
        <v>1996</v>
      </c>
      <c r="G182">
        <v>1</v>
      </c>
      <c r="H182">
        <v>0</v>
      </c>
      <c r="L182">
        <v>8</v>
      </c>
      <c r="M182">
        <v>0</v>
      </c>
    </row>
    <row r="183" spans="1:13" ht="15.75" customHeight="1" x14ac:dyDescent="0.2">
      <c r="A183">
        <f t="shared" si="7"/>
        <v>1</v>
      </c>
      <c r="B183" s="43" t="s">
        <v>56</v>
      </c>
      <c r="C183" t="s">
        <v>469</v>
      </c>
      <c r="D183" t="s">
        <v>281</v>
      </c>
      <c r="E183" t="s">
        <v>252</v>
      </c>
      <c r="F183">
        <v>1999</v>
      </c>
      <c r="G183">
        <v>1</v>
      </c>
      <c r="H183">
        <v>0</v>
      </c>
      <c r="L183">
        <v>7</v>
      </c>
      <c r="M183">
        <v>0</v>
      </c>
    </row>
    <row r="184" spans="1:13" ht="15.75" customHeight="1" x14ac:dyDescent="0.2">
      <c r="A184">
        <f t="shared" si="7"/>
        <v>1</v>
      </c>
      <c r="B184" s="43" t="s">
        <v>56</v>
      </c>
      <c r="C184" t="s">
        <v>469</v>
      </c>
      <c r="D184" t="s">
        <v>151</v>
      </c>
      <c r="E184">
        <v>2</v>
      </c>
      <c r="F184">
        <v>2000</v>
      </c>
      <c r="G184">
        <v>1</v>
      </c>
      <c r="H184">
        <v>1</v>
      </c>
      <c r="I184" t="str">
        <f>IF(H184=1,B184,"")</f>
        <v>Dominican Republic</v>
      </c>
      <c r="K184">
        <v>2000</v>
      </c>
      <c r="L184">
        <v>6</v>
      </c>
      <c r="M184">
        <v>0</v>
      </c>
    </row>
    <row r="185" spans="1:13" ht="15.75" customHeight="1" x14ac:dyDescent="0.2">
      <c r="A185">
        <f t="shared" si="7"/>
        <v>1</v>
      </c>
      <c r="B185" s="43" t="s">
        <v>56</v>
      </c>
      <c r="C185" t="s">
        <v>469</v>
      </c>
      <c r="D185" t="s">
        <v>281</v>
      </c>
      <c r="E185" t="s">
        <v>252</v>
      </c>
      <c r="F185">
        <v>2002</v>
      </c>
      <c r="G185">
        <v>1</v>
      </c>
      <c r="H185">
        <v>0</v>
      </c>
      <c r="L185">
        <v>5</v>
      </c>
      <c r="M185">
        <v>0</v>
      </c>
    </row>
    <row r="186" spans="1:13" ht="15.75" customHeight="1" x14ac:dyDescent="0.2">
      <c r="A186">
        <f t="shared" si="7"/>
        <v>1</v>
      </c>
      <c r="B186" s="43" t="s">
        <v>56</v>
      </c>
      <c r="C186" t="s">
        <v>469</v>
      </c>
      <c r="D186" t="s">
        <v>281</v>
      </c>
      <c r="E186" t="s">
        <v>250</v>
      </c>
      <c r="F186">
        <v>2007</v>
      </c>
      <c r="G186">
        <v>1</v>
      </c>
      <c r="H186">
        <v>0</v>
      </c>
      <c r="L186">
        <v>4</v>
      </c>
      <c r="M186">
        <v>0</v>
      </c>
    </row>
    <row r="187" spans="1:13" ht="15.75" customHeight="1" x14ac:dyDescent="0.2">
      <c r="A187">
        <f t="shared" si="7"/>
        <v>1</v>
      </c>
      <c r="B187" s="43" t="s">
        <v>56</v>
      </c>
      <c r="C187" t="s">
        <v>469</v>
      </c>
      <c r="D187" t="s">
        <v>281</v>
      </c>
      <c r="E187" t="s">
        <v>282</v>
      </c>
      <c r="F187">
        <v>2007</v>
      </c>
      <c r="G187">
        <v>1</v>
      </c>
      <c r="H187">
        <v>0</v>
      </c>
      <c r="L187">
        <v>3</v>
      </c>
      <c r="M187">
        <v>0</v>
      </c>
    </row>
    <row r="188" spans="1:13" ht="15.75" customHeight="1" x14ac:dyDescent="0.2">
      <c r="A188">
        <f t="shared" si="7"/>
        <v>1</v>
      </c>
      <c r="B188" s="43" t="s">
        <v>56</v>
      </c>
      <c r="C188" t="s">
        <v>469</v>
      </c>
      <c r="D188" t="s">
        <v>281</v>
      </c>
      <c r="E188" t="s">
        <v>458</v>
      </c>
      <c r="F188">
        <v>2013</v>
      </c>
      <c r="G188">
        <v>1</v>
      </c>
      <c r="H188">
        <v>0</v>
      </c>
      <c r="L188">
        <v>2</v>
      </c>
      <c r="M188">
        <v>0</v>
      </c>
    </row>
    <row r="189" spans="1:13" ht="15.75" customHeight="1" x14ac:dyDescent="0.2">
      <c r="A189">
        <f t="shared" si="7"/>
        <v>0</v>
      </c>
      <c r="B189" s="97" t="s">
        <v>56</v>
      </c>
      <c r="C189" s="97"/>
      <c r="D189" s="97" t="s">
        <v>281</v>
      </c>
      <c r="E189" s="97" t="s">
        <v>276</v>
      </c>
      <c r="F189" s="97">
        <v>2013</v>
      </c>
      <c r="G189" s="97">
        <v>1</v>
      </c>
      <c r="H189" s="97">
        <v>0</v>
      </c>
      <c r="I189" s="97"/>
      <c r="J189" s="97"/>
      <c r="K189" s="97"/>
      <c r="L189" s="97">
        <v>1</v>
      </c>
      <c r="M189">
        <v>0</v>
      </c>
    </row>
    <row r="190" spans="1:13" ht="15.75" customHeight="1" x14ac:dyDescent="0.2">
      <c r="A190">
        <f t="shared" si="7"/>
        <v>1</v>
      </c>
      <c r="B190" t="s">
        <v>57</v>
      </c>
      <c r="C190" t="s">
        <v>469</v>
      </c>
      <c r="D190" t="s">
        <v>281</v>
      </c>
      <c r="E190" t="s">
        <v>257</v>
      </c>
      <c r="F190">
        <v>1987</v>
      </c>
      <c r="G190">
        <v>1</v>
      </c>
      <c r="H190">
        <v>1</v>
      </c>
      <c r="I190" t="str">
        <f>IF(H190=1,B190,"")</f>
        <v>Ecuador</v>
      </c>
      <c r="L190">
        <v>4</v>
      </c>
      <c r="M190">
        <v>1</v>
      </c>
    </row>
    <row r="191" spans="1:13" ht="15.75" customHeight="1" x14ac:dyDescent="0.2">
      <c r="A191">
        <f t="shared" si="7"/>
        <v>1</v>
      </c>
      <c r="B191" t="s">
        <v>57</v>
      </c>
      <c r="C191" t="s">
        <v>469</v>
      </c>
      <c r="D191" t="s">
        <v>244</v>
      </c>
      <c r="E191" t="s">
        <v>213</v>
      </c>
      <c r="F191">
        <v>1994</v>
      </c>
      <c r="G191">
        <v>1</v>
      </c>
      <c r="H191">
        <v>0</v>
      </c>
      <c r="I191" t="str">
        <f>IF(H191=1,B191,"")</f>
        <v/>
      </c>
      <c r="L191">
        <v>3</v>
      </c>
      <c r="M191">
        <v>0</v>
      </c>
    </row>
    <row r="192" spans="1:13" ht="15.75" customHeight="1" x14ac:dyDescent="0.2">
      <c r="A192">
        <f t="shared" si="7"/>
        <v>1</v>
      </c>
      <c r="B192" t="s">
        <v>57</v>
      </c>
      <c r="C192" t="s">
        <v>469</v>
      </c>
      <c r="D192" t="s">
        <v>244</v>
      </c>
      <c r="E192" t="s">
        <v>213</v>
      </c>
      <c r="F192">
        <v>1995</v>
      </c>
      <c r="G192">
        <v>1</v>
      </c>
      <c r="H192">
        <v>0</v>
      </c>
      <c r="L192">
        <v>2</v>
      </c>
      <c r="M192">
        <v>0</v>
      </c>
    </row>
    <row r="193" spans="1:13" ht="15.75" customHeight="1" x14ac:dyDescent="0.2">
      <c r="A193">
        <f t="shared" si="7"/>
        <v>0</v>
      </c>
      <c r="B193" t="s">
        <v>57</v>
      </c>
      <c r="C193" t="s">
        <v>469</v>
      </c>
      <c r="D193" t="s">
        <v>244</v>
      </c>
      <c r="E193" t="s">
        <v>213</v>
      </c>
      <c r="F193">
        <v>1998</v>
      </c>
      <c r="G193">
        <v>1</v>
      </c>
      <c r="H193">
        <v>0</v>
      </c>
      <c r="L193">
        <v>1</v>
      </c>
      <c r="M193">
        <v>0</v>
      </c>
    </row>
    <row r="194" spans="1:13" ht="15.75" customHeight="1" x14ac:dyDescent="0.2">
      <c r="A194">
        <f t="shared" si="7"/>
        <v>1</v>
      </c>
      <c r="B194" t="s">
        <v>77</v>
      </c>
      <c r="C194" t="s">
        <v>468</v>
      </c>
      <c r="D194" t="s">
        <v>281</v>
      </c>
      <c r="E194" t="s">
        <v>252</v>
      </c>
      <c r="F194">
        <v>1988</v>
      </c>
      <c r="G194">
        <v>1</v>
      </c>
      <c r="H194">
        <v>1</v>
      </c>
      <c r="I194" t="str">
        <f>IF(H194=1,B194,"")</f>
        <v>Egypt</v>
      </c>
      <c r="L194">
        <v>15</v>
      </c>
      <c r="M194">
        <v>1</v>
      </c>
    </row>
    <row r="195" spans="1:13" ht="15.75" customHeight="1" x14ac:dyDescent="0.2">
      <c r="A195">
        <f t="shared" si="7"/>
        <v>1</v>
      </c>
      <c r="B195" t="s">
        <v>77</v>
      </c>
      <c r="C195" t="s">
        <v>468</v>
      </c>
      <c r="D195" t="s">
        <v>281</v>
      </c>
      <c r="E195" t="s">
        <v>257</v>
      </c>
      <c r="F195">
        <v>1992</v>
      </c>
      <c r="G195">
        <v>1</v>
      </c>
      <c r="H195">
        <v>0</v>
      </c>
      <c r="L195">
        <v>14</v>
      </c>
      <c r="M195">
        <v>0</v>
      </c>
    </row>
    <row r="196" spans="1:13" ht="15.75" customHeight="1" x14ac:dyDescent="0.2">
      <c r="A196">
        <f t="shared" si="7"/>
        <v>1</v>
      </c>
      <c r="B196" t="s">
        <v>77</v>
      </c>
      <c r="C196" t="s">
        <v>468</v>
      </c>
      <c r="D196" t="s">
        <v>281</v>
      </c>
      <c r="E196" t="s">
        <v>252</v>
      </c>
      <c r="F196">
        <v>1995</v>
      </c>
      <c r="G196">
        <v>1</v>
      </c>
      <c r="H196">
        <v>0</v>
      </c>
      <c r="L196">
        <v>13</v>
      </c>
      <c r="M196">
        <v>0</v>
      </c>
    </row>
    <row r="197" spans="1:13" ht="15.75" customHeight="1" x14ac:dyDescent="0.2">
      <c r="A197">
        <f t="shared" si="7"/>
        <v>1</v>
      </c>
      <c r="B197" t="s">
        <v>77</v>
      </c>
      <c r="C197" t="s">
        <v>468</v>
      </c>
      <c r="D197" t="s">
        <v>151</v>
      </c>
      <c r="E197">
        <v>1</v>
      </c>
      <c r="F197">
        <v>1996</v>
      </c>
      <c r="G197">
        <v>1</v>
      </c>
      <c r="H197">
        <v>1</v>
      </c>
      <c r="I197" t="str">
        <f>IF(H197=1,B197,"")</f>
        <v>Egypt</v>
      </c>
      <c r="K197">
        <v>1996</v>
      </c>
      <c r="L197">
        <v>12</v>
      </c>
      <c r="M197">
        <v>0</v>
      </c>
    </row>
    <row r="198" spans="1:13" x14ac:dyDescent="0.2">
      <c r="A198">
        <f t="shared" si="7"/>
        <v>1</v>
      </c>
      <c r="B198" t="s">
        <v>77</v>
      </c>
      <c r="C198" t="s">
        <v>468</v>
      </c>
      <c r="D198" t="s">
        <v>281</v>
      </c>
      <c r="E198" t="s">
        <v>252</v>
      </c>
      <c r="F198">
        <v>1997</v>
      </c>
      <c r="G198">
        <v>1</v>
      </c>
      <c r="H198">
        <v>0</v>
      </c>
      <c r="L198">
        <v>11</v>
      </c>
      <c r="M198">
        <v>0</v>
      </c>
    </row>
    <row r="199" spans="1:13" ht="15.75" customHeight="1" x14ac:dyDescent="0.2">
      <c r="A199">
        <f t="shared" si="7"/>
        <v>1</v>
      </c>
      <c r="B199" t="s">
        <v>77</v>
      </c>
      <c r="C199" t="s">
        <v>468</v>
      </c>
      <c r="D199" t="s">
        <v>281</v>
      </c>
      <c r="E199" t="s">
        <v>252</v>
      </c>
      <c r="F199">
        <v>1997</v>
      </c>
      <c r="G199">
        <v>1</v>
      </c>
      <c r="H199">
        <v>0</v>
      </c>
      <c r="L199">
        <v>10</v>
      </c>
      <c r="M199">
        <v>0</v>
      </c>
    </row>
    <row r="200" spans="1:13" ht="15.75" customHeight="1" x14ac:dyDescent="0.2">
      <c r="A200">
        <f t="shared" si="7"/>
        <v>1</v>
      </c>
      <c r="B200" t="s">
        <v>77</v>
      </c>
      <c r="C200" t="s">
        <v>468</v>
      </c>
      <c r="D200" t="s">
        <v>281</v>
      </c>
      <c r="E200" t="s">
        <v>252</v>
      </c>
      <c r="F200">
        <v>1998</v>
      </c>
      <c r="G200">
        <v>1</v>
      </c>
      <c r="H200">
        <v>0</v>
      </c>
      <c r="L200">
        <v>9</v>
      </c>
      <c r="M200">
        <v>0</v>
      </c>
    </row>
    <row r="201" spans="1:13" ht="15.75" customHeight="1" x14ac:dyDescent="0.2">
      <c r="A201">
        <f t="shared" ref="A201:A264" si="8">IF(B201=B202,1,0)</f>
        <v>1</v>
      </c>
      <c r="B201" t="s">
        <v>77</v>
      </c>
      <c r="C201" t="s">
        <v>468</v>
      </c>
      <c r="D201" t="s">
        <v>281</v>
      </c>
      <c r="E201" t="s">
        <v>262</v>
      </c>
      <c r="F201">
        <v>2000</v>
      </c>
      <c r="G201">
        <v>1</v>
      </c>
      <c r="H201">
        <v>0</v>
      </c>
      <c r="L201">
        <v>8</v>
      </c>
      <c r="M201">
        <v>0</v>
      </c>
    </row>
    <row r="202" spans="1:13" ht="15.75" customHeight="1" x14ac:dyDescent="0.2">
      <c r="A202">
        <f t="shared" si="8"/>
        <v>1</v>
      </c>
      <c r="B202" t="s">
        <v>77</v>
      </c>
      <c r="C202" t="s">
        <v>468</v>
      </c>
      <c r="D202" t="s">
        <v>281</v>
      </c>
      <c r="E202" t="s">
        <v>252</v>
      </c>
      <c r="F202">
        <v>2002</v>
      </c>
      <c r="G202">
        <v>1</v>
      </c>
      <c r="H202">
        <v>0</v>
      </c>
      <c r="L202">
        <v>7</v>
      </c>
      <c r="M202">
        <v>0</v>
      </c>
    </row>
    <row r="203" spans="1:13" ht="15.75" customHeight="1" x14ac:dyDescent="0.2">
      <c r="A203">
        <f t="shared" si="8"/>
        <v>1</v>
      </c>
      <c r="B203" t="s">
        <v>77</v>
      </c>
      <c r="C203" t="s">
        <v>468</v>
      </c>
      <c r="D203" t="s">
        <v>281</v>
      </c>
      <c r="E203" t="s">
        <v>252</v>
      </c>
      <c r="F203">
        <v>2003</v>
      </c>
      <c r="G203">
        <v>1</v>
      </c>
      <c r="H203">
        <v>0</v>
      </c>
      <c r="L203">
        <v>6</v>
      </c>
      <c r="M203">
        <v>0</v>
      </c>
    </row>
    <row r="204" spans="1:13" ht="15.75" customHeight="1" x14ac:dyDescent="0.2">
      <c r="A204">
        <f t="shared" si="8"/>
        <v>1</v>
      </c>
      <c r="B204" t="s">
        <v>77</v>
      </c>
      <c r="C204" t="s">
        <v>468</v>
      </c>
      <c r="D204" t="s">
        <v>281</v>
      </c>
      <c r="E204" t="s">
        <v>252</v>
      </c>
      <c r="F204">
        <v>2004</v>
      </c>
      <c r="G204">
        <v>1</v>
      </c>
      <c r="H204">
        <v>0</v>
      </c>
      <c r="L204">
        <v>5</v>
      </c>
      <c r="M204">
        <v>0</v>
      </c>
    </row>
    <row r="205" spans="1:13" ht="15.75" customHeight="1" x14ac:dyDescent="0.2">
      <c r="A205">
        <f t="shared" si="8"/>
        <v>1</v>
      </c>
      <c r="B205" t="s">
        <v>77</v>
      </c>
      <c r="C205" t="s">
        <v>468</v>
      </c>
      <c r="D205" t="s">
        <v>281</v>
      </c>
      <c r="E205" t="s">
        <v>252</v>
      </c>
      <c r="F205">
        <v>2005</v>
      </c>
      <c r="G205">
        <v>1</v>
      </c>
      <c r="H205">
        <v>0</v>
      </c>
      <c r="L205">
        <v>4</v>
      </c>
      <c r="M205">
        <v>0</v>
      </c>
    </row>
    <row r="206" spans="1:13" ht="15.75" customHeight="1" x14ac:dyDescent="0.2">
      <c r="A206">
        <f t="shared" si="8"/>
        <v>1</v>
      </c>
      <c r="B206" t="s">
        <v>77</v>
      </c>
      <c r="C206" t="s">
        <v>468</v>
      </c>
      <c r="D206" t="s">
        <v>281</v>
      </c>
      <c r="E206" t="s">
        <v>252</v>
      </c>
      <c r="F206">
        <v>2008</v>
      </c>
      <c r="G206">
        <v>1</v>
      </c>
      <c r="H206">
        <v>0</v>
      </c>
      <c r="L206">
        <v>3</v>
      </c>
      <c r="M206">
        <v>0</v>
      </c>
    </row>
    <row r="207" spans="1:13" ht="15.75" customHeight="1" x14ac:dyDescent="0.2">
      <c r="A207">
        <f t="shared" si="8"/>
        <v>1</v>
      </c>
      <c r="B207" t="s">
        <v>77</v>
      </c>
      <c r="C207" t="s">
        <v>468</v>
      </c>
      <c r="D207" t="s">
        <v>151</v>
      </c>
      <c r="E207">
        <v>5</v>
      </c>
      <c r="F207">
        <v>2014</v>
      </c>
      <c r="G207">
        <v>1</v>
      </c>
      <c r="H207">
        <v>0</v>
      </c>
      <c r="K207">
        <v>2013</v>
      </c>
      <c r="L207">
        <v>2</v>
      </c>
      <c r="M207">
        <v>0</v>
      </c>
    </row>
    <row r="208" spans="1:13" x14ac:dyDescent="0.2">
      <c r="A208">
        <f t="shared" si="8"/>
        <v>0</v>
      </c>
      <c r="B208" s="97" t="s">
        <v>77</v>
      </c>
      <c r="C208" s="97"/>
      <c r="D208" s="97" t="s">
        <v>281</v>
      </c>
      <c r="E208" s="96" t="s">
        <v>260</v>
      </c>
      <c r="F208" s="97">
        <v>2014</v>
      </c>
      <c r="G208" s="97">
        <v>1</v>
      </c>
      <c r="H208" s="97">
        <v>0</v>
      </c>
      <c r="I208" s="97"/>
      <c r="J208" s="97"/>
      <c r="K208" s="97"/>
      <c r="L208" s="97">
        <v>1</v>
      </c>
      <c r="M208">
        <v>0</v>
      </c>
    </row>
    <row r="209" spans="1:13" ht="15.75" customHeight="1" x14ac:dyDescent="0.2">
      <c r="A209">
        <f t="shared" si="8"/>
        <v>0</v>
      </c>
      <c r="B209" t="s">
        <v>58</v>
      </c>
      <c r="C209" t="s">
        <v>469</v>
      </c>
      <c r="D209" t="s">
        <v>281</v>
      </c>
      <c r="E209" t="s">
        <v>252</v>
      </c>
      <c r="F209">
        <v>1985</v>
      </c>
      <c r="G209">
        <v>1</v>
      </c>
      <c r="H209">
        <v>1</v>
      </c>
      <c r="I209" t="str">
        <f>IF(H209=1,B209,"")</f>
        <v>El Salvador</v>
      </c>
      <c r="L209">
        <v>1</v>
      </c>
      <c r="M209">
        <v>1</v>
      </c>
    </row>
    <row r="210" spans="1:13" ht="15.75" customHeight="1" x14ac:dyDescent="0.2">
      <c r="A210">
        <f t="shared" si="8"/>
        <v>1</v>
      </c>
      <c r="B210" t="s">
        <v>177</v>
      </c>
      <c r="C210" t="s">
        <v>95</v>
      </c>
      <c r="D210" t="s">
        <v>151</v>
      </c>
      <c r="E210">
        <v>2</v>
      </c>
      <c r="F210">
        <v>2000</v>
      </c>
      <c r="G210">
        <v>1</v>
      </c>
      <c r="H210">
        <v>1</v>
      </c>
      <c r="I210" t="str">
        <f>IF(H210=1,B210,"")</f>
        <v>Equatorial Guinea</v>
      </c>
      <c r="K210">
        <v>2000</v>
      </c>
      <c r="L210">
        <v>2</v>
      </c>
      <c r="M210">
        <v>1</v>
      </c>
    </row>
    <row r="211" spans="1:13" x14ac:dyDescent="0.2">
      <c r="A211">
        <f t="shared" si="8"/>
        <v>0</v>
      </c>
      <c r="B211" t="s">
        <v>177</v>
      </c>
      <c r="C211" t="s">
        <v>95</v>
      </c>
      <c r="D211" t="s">
        <v>281</v>
      </c>
      <c r="E211" t="s">
        <v>252</v>
      </c>
      <c r="F211">
        <v>2011</v>
      </c>
      <c r="G211">
        <v>1</v>
      </c>
      <c r="H211">
        <v>1</v>
      </c>
      <c r="I211" t="str">
        <f>IF(H211=1,B211,"")</f>
        <v>Equatorial Guinea</v>
      </c>
      <c r="L211">
        <v>1</v>
      </c>
      <c r="M211">
        <v>0</v>
      </c>
    </row>
    <row r="212" spans="1:13" ht="15.75" customHeight="1" x14ac:dyDescent="0.2">
      <c r="A212">
        <f t="shared" si="8"/>
        <v>1</v>
      </c>
      <c r="B212" t="s">
        <v>283</v>
      </c>
      <c r="C212" t="s">
        <v>95</v>
      </c>
      <c r="D212" t="s">
        <v>281</v>
      </c>
      <c r="E212" t="s">
        <v>252</v>
      </c>
      <c r="F212">
        <v>1995</v>
      </c>
      <c r="G212">
        <v>1</v>
      </c>
      <c r="H212">
        <v>1</v>
      </c>
      <c r="I212" t="str">
        <f>IF(H212=1,B212,"")</f>
        <v>Eritrea</v>
      </c>
      <c r="L212">
        <v>2</v>
      </c>
      <c r="M212">
        <v>1</v>
      </c>
    </row>
    <row r="213" spans="1:13" ht="15.75" customHeight="1" x14ac:dyDescent="0.2">
      <c r="A213">
        <f t="shared" si="8"/>
        <v>0</v>
      </c>
      <c r="B213" t="s">
        <v>283</v>
      </c>
      <c r="C213" t="s">
        <v>95</v>
      </c>
      <c r="D213" t="s">
        <v>281</v>
      </c>
      <c r="E213" t="s">
        <v>284</v>
      </c>
      <c r="F213">
        <v>2002</v>
      </c>
      <c r="G213">
        <v>1</v>
      </c>
      <c r="H213">
        <v>0</v>
      </c>
      <c r="L213">
        <v>1</v>
      </c>
      <c r="M213">
        <v>0</v>
      </c>
    </row>
    <row r="214" spans="1:13" ht="15.75" customHeight="1" x14ac:dyDescent="0.2">
      <c r="A214">
        <f t="shared" si="8"/>
        <v>1</v>
      </c>
      <c r="B214" t="s">
        <v>108</v>
      </c>
      <c r="C214" t="s">
        <v>95</v>
      </c>
      <c r="D214" t="s">
        <v>281</v>
      </c>
      <c r="E214" t="s">
        <v>301</v>
      </c>
      <c r="F214">
        <v>2000</v>
      </c>
      <c r="G214">
        <v>1</v>
      </c>
      <c r="H214">
        <v>1</v>
      </c>
      <c r="I214" t="str">
        <f>IF(H214=1,B214,"")</f>
        <v>Ethiopia</v>
      </c>
      <c r="L214">
        <v>6</v>
      </c>
      <c r="M214">
        <v>1</v>
      </c>
    </row>
    <row r="215" spans="1:13" ht="15.75" customHeight="1" x14ac:dyDescent="0.2">
      <c r="A215">
        <f t="shared" si="8"/>
        <v>1</v>
      </c>
      <c r="B215" t="s">
        <v>108</v>
      </c>
      <c r="C215" t="s">
        <v>95</v>
      </c>
      <c r="D215" t="s">
        <v>281</v>
      </c>
      <c r="E215" t="s">
        <v>257</v>
      </c>
      <c r="F215">
        <v>2005</v>
      </c>
      <c r="G215">
        <v>1</v>
      </c>
      <c r="H215">
        <v>0</v>
      </c>
      <c r="L215">
        <v>5</v>
      </c>
      <c r="M215">
        <v>0</v>
      </c>
    </row>
    <row r="216" spans="1:13" ht="15.75" customHeight="1" x14ac:dyDescent="0.2">
      <c r="A216">
        <f t="shared" si="8"/>
        <v>1</v>
      </c>
      <c r="B216" t="s">
        <v>108</v>
      </c>
      <c r="C216" t="s">
        <v>95</v>
      </c>
      <c r="D216" t="s">
        <v>281</v>
      </c>
      <c r="E216" t="s">
        <v>280</v>
      </c>
      <c r="F216">
        <v>2011</v>
      </c>
      <c r="G216">
        <v>1</v>
      </c>
      <c r="H216">
        <v>0</v>
      </c>
      <c r="L216">
        <v>4</v>
      </c>
      <c r="M216">
        <v>0</v>
      </c>
    </row>
    <row r="217" spans="1:13" ht="15.75" customHeight="1" x14ac:dyDescent="0.2">
      <c r="A217">
        <f t="shared" si="8"/>
        <v>1</v>
      </c>
      <c r="B217" t="s">
        <v>108</v>
      </c>
      <c r="C217" t="s">
        <v>95</v>
      </c>
      <c r="D217" t="s">
        <v>244</v>
      </c>
      <c r="E217" t="s">
        <v>214</v>
      </c>
      <c r="F217">
        <v>2011</v>
      </c>
      <c r="G217">
        <v>1</v>
      </c>
      <c r="H217">
        <v>1</v>
      </c>
      <c r="I217" t="str">
        <f>IF(H217=1,B217,"")</f>
        <v>Ethiopia</v>
      </c>
      <c r="L217">
        <v>3</v>
      </c>
      <c r="M217">
        <v>0</v>
      </c>
    </row>
    <row r="218" spans="1:13" ht="15.75" customHeight="1" x14ac:dyDescent="0.2">
      <c r="A218">
        <f t="shared" si="8"/>
        <v>1</v>
      </c>
      <c r="B218" s="97" t="s">
        <v>108</v>
      </c>
      <c r="C218" s="97"/>
      <c r="D218" s="97" t="s">
        <v>244</v>
      </c>
      <c r="E218" s="97" t="s">
        <v>214</v>
      </c>
      <c r="F218" s="100">
        <v>2011</v>
      </c>
      <c r="G218" s="97">
        <v>1</v>
      </c>
      <c r="H218" s="97">
        <v>0</v>
      </c>
      <c r="I218" s="97"/>
      <c r="J218" s="97"/>
      <c r="K218" s="97"/>
      <c r="L218" s="97">
        <v>2</v>
      </c>
      <c r="M218">
        <v>0</v>
      </c>
    </row>
    <row r="219" spans="1:13" ht="15.75" customHeight="1" x14ac:dyDescent="0.2">
      <c r="A219">
        <f t="shared" si="8"/>
        <v>0</v>
      </c>
      <c r="B219" s="97" t="s">
        <v>108</v>
      </c>
      <c r="C219" s="97"/>
      <c r="D219" s="97" t="s">
        <v>244</v>
      </c>
      <c r="E219" s="97" t="s">
        <v>487</v>
      </c>
      <c r="F219" s="100">
        <v>2013</v>
      </c>
      <c r="G219" s="97">
        <v>1</v>
      </c>
      <c r="H219" s="97">
        <v>0</v>
      </c>
      <c r="I219" s="97"/>
      <c r="J219" s="97"/>
      <c r="K219" s="97"/>
      <c r="L219" s="97">
        <v>1</v>
      </c>
      <c r="M219">
        <v>0</v>
      </c>
    </row>
    <row r="220" spans="1:13" ht="15.75" customHeight="1" x14ac:dyDescent="0.2">
      <c r="A220">
        <f t="shared" si="8"/>
        <v>1</v>
      </c>
      <c r="B220" t="s">
        <v>109</v>
      </c>
      <c r="C220" t="s">
        <v>95</v>
      </c>
      <c r="D220" t="s">
        <v>281</v>
      </c>
      <c r="E220" t="s">
        <v>252</v>
      </c>
      <c r="F220">
        <v>2000</v>
      </c>
      <c r="G220">
        <v>1</v>
      </c>
      <c r="H220">
        <v>1</v>
      </c>
      <c r="I220" t="str">
        <f>IF(H220=1,B220,"")</f>
        <v>Gabon</v>
      </c>
      <c r="L220">
        <v>3</v>
      </c>
      <c r="M220">
        <v>1</v>
      </c>
    </row>
    <row r="221" spans="1:13" x14ac:dyDescent="0.2">
      <c r="A221">
        <f t="shared" si="8"/>
        <v>1</v>
      </c>
      <c r="B221" t="s">
        <v>109</v>
      </c>
      <c r="C221" t="s">
        <v>95</v>
      </c>
      <c r="D221" t="s">
        <v>304</v>
      </c>
      <c r="E221" t="s">
        <v>428</v>
      </c>
      <c r="F221">
        <v>2005</v>
      </c>
      <c r="G221">
        <v>1</v>
      </c>
      <c r="H221">
        <v>1</v>
      </c>
      <c r="I221" t="str">
        <f>IF(H221=1,B221,"")</f>
        <v>Gabon</v>
      </c>
      <c r="L221">
        <v>2</v>
      </c>
      <c r="M221">
        <v>0</v>
      </c>
    </row>
    <row r="222" spans="1:13" ht="15.75" customHeight="1" x14ac:dyDescent="0.2">
      <c r="A222">
        <f t="shared" si="8"/>
        <v>0</v>
      </c>
      <c r="B222" t="s">
        <v>109</v>
      </c>
      <c r="C222" t="s">
        <v>95</v>
      </c>
      <c r="D222" t="s">
        <v>281</v>
      </c>
      <c r="E222" t="s">
        <v>252</v>
      </c>
      <c r="F222">
        <v>2012</v>
      </c>
      <c r="G222">
        <v>1</v>
      </c>
      <c r="H222">
        <v>0</v>
      </c>
      <c r="L222">
        <v>1</v>
      </c>
      <c r="M222">
        <v>0</v>
      </c>
    </row>
    <row r="223" spans="1:13" ht="15.75" customHeight="1" x14ac:dyDescent="0.2">
      <c r="A223">
        <f t="shared" si="8"/>
        <v>1</v>
      </c>
      <c r="B223" t="s">
        <v>110</v>
      </c>
      <c r="C223" t="s">
        <v>95</v>
      </c>
      <c r="D223" t="s">
        <v>151</v>
      </c>
      <c r="E223">
        <v>2</v>
      </c>
      <c r="F223">
        <v>2000</v>
      </c>
      <c r="G223">
        <v>1</v>
      </c>
      <c r="H223">
        <v>1</v>
      </c>
      <c r="I223" t="str">
        <f>IF(H223=1,B223,"")</f>
        <v>Gambia</v>
      </c>
      <c r="K223">
        <v>2000</v>
      </c>
      <c r="L223">
        <v>7</v>
      </c>
      <c r="M223">
        <v>1</v>
      </c>
    </row>
    <row r="224" spans="1:13" ht="15.75" customHeight="1" x14ac:dyDescent="0.2">
      <c r="A224">
        <f t="shared" si="8"/>
        <v>1</v>
      </c>
      <c r="B224" t="s">
        <v>110</v>
      </c>
      <c r="C224" t="s">
        <v>95</v>
      </c>
      <c r="D224" t="s">
        <v>450</v>
      </c>
      <c r="E224" t="s">
        <v>450</v>
      </c>
      <c r="F224">
        <v>2004</v>
      </c>
      <c r="G224">
        <v>1</v>
      </c>
      <c r="H224">
        <v>1</v>
      </c>
      <c r="I224" t="str">
        <f>IF(H224=1,B224,"")</f>
        <v>Gambia</v>
      </c>
      <c r="K224">
        <v>2003</v>
      </c>
      <c r="L224">
        <v>6</v>
      </c>
      <c r="M224">
        <v>0</v>
      </c>
    </row>
    <row r="225" spans="1:13" ht="15.75" customHeight="1" x14ac:dyDescent="0.2">
      <c r="A225">
        <f t="shared" si="8"/>
        <v>1</v>
      </c>
      <c r="B225" t="s">
        <v>110</v>
      </c>
      <c r="C225" t="s">
        <v>95</v>
      </c>
      <c r="D225" t="s">
        <v>151</v>
      </c>
      <c r="E225">
        <v>3</v>
      </c>
      <c r="F225">
        <v>2006</v>
      </c>
      <c r="G225">
        <v>1</v>
      </c>
      <c r="H225">
        <v>0</v>
      </c>
      <c r="I225" t="str">
        <f>IF(H225=1,B225,"")</f>
        <v/>
      </c>
      <c r="K225">
        <v>2005</v>
      </c>
      <c r="L225">
        <v>5</v>
      </c>
      <c r="M225">
        <v>0</v>
      </c>
    </row>
    <row r="226" spans="1:13" ht="15.75" customHeight="1" x14ac:dyDescent="0.2">
      <c r="A226">
        <f t="shared" si="8"/>
        <v>1</v>
      </c>
      <c r="B226" t="s">
        <v>110</v>
      </c>
      <c r="C226" t="s">
        <v>95</v>
      </c>
      <c r="D226" t="s">
        <v>450</v>
      </c>
      <c r="E226" t="s">
        <v>450</v>
      </c>
      <c r="F226">
        <v>2010</v>
      </c>
      <c r="G226">
        <v>1</v>
      </c>
      <c r="H226">
        <v>0</v>
      </c>
      <c r="K226">
        <v>2010</v>
      </c>
      <c r="L226">
        <v>4</v>
      </c>
      <c r="M226">
        <v>0</v>
      </c>
    </row>
    <row r="227" spans="1:13" ht="15.75" customHeight="1" x14ac:dyDescent="0.2">
      <c r="A227">
        <f t="shared" si="8"/>
        <v>1</v>
      </c>
      <c r="B227" t="s">
        <v>110</v>
      </c>
      <c r="C227" t="s">
        <v>95</v>
      </c>
      <c r="D227" t="s">
        <v>151</v>
      </c>
      <c r="E227">
        <v>4</v>
      </c>
      <c r="F227">
        <v>2010</v>
      </c>
      <c r="G227">
        <v>1</v>
      </c>
      <c r="H227">
        <v>0</v>
      </c>
      <c r="I227" t="str">
        <f>IF(H227=1,B227,"")</f>
        <v/>
      </c>
      <c r="K227">
        <v>2010</v>
      </c>
      <c r="L227">
        <v>3</v>
      </c>
      <c r="M227">
        <v>0</v>
      </c>
    </row>
    <row r="228" spans="1:13" ht="15.75" customHeight="1" x14ac:dyDescent="0.2">
      <c r="A228">
        <f t="shared" si="8"/>
        <v>1</v>
      </c>
      <c r="B228" t="s">
        <v>110</v>
      </c>
      <c r="C228" t="s">
        <v>95</v>
      </c>
      <c r="D228" t="s">
        <v>281</v>
      </c>
      <c r="E228" t="s">
        <v>252</v>
      </c>
      <c r="F228">
        <v>2012</v>
      </c>
      <c r="G228">
        <v>1</v>
      </c>
      <c r="H228">
        <v>1</v>
      </c>
      <c r="I228" t="str">
        <f>IF(H228=1,B228,"")</f>
        <v>Gambia</v>
      </c>
      <c r="L228">
        <v>2</v>
      </c>
      <c r="M228">
        <v>0</v>
      </c>
    </row>
    <row r="229" spans="1:13" ht="15.75" customHeight="1" x14ac:dyDescent="0.2">
      <c r="A229">
        <f t="shared" si="8"/>
        <v>0</v>
      </c>
      <c r="B229" s="97" t="s">
        <v>110</v>
      </c>
      <c r="C229" s="97"/>
      <c r="D229" s="97" t="s">
        <v>281</v>
      </c>
      <c r="E229" s="97" t="s">
        <v>253</v>
      </c>
      <c r="F229" s="97">
        <v>2013</v>
      </c>
      <c r="G229" s="97">
        <v>1</v>
      </c>
      <c r="H229" s="97">
        <v>0</v>
      </c>
      <c r="I229" s="97"/>
      <c r="J229" s="97"/>
      <c r="K229" s="97"/>
      <c r="L229" s="97">
        <v>1</v>
      </c>
      <c r="M229">
        <v>0</v>
      </c>
    </row>
    <row r="230" spans="1:13" ht="15.75" customHeight="1" x14ac:dyDescent="0.2">
      <c r="A230">
        <f t="shared" si="8"/>
        <v>1</v>
      </c>
      <c r="B230" t="s">
        <v>29</v>
      </c>
      <c r="C230" t="s">
        <v>19</v>
      </c>
      <c r="D230" t="s">
        <v>151</v>
      </c>
      <c r="E230">
        <v>2</v>
      </c>
      <c r="F230">
        <v>1999</v>
      </c>
      <c r="G230">
        <v>1</v>
      </c>
      <c r="H230">
        <v>1</v>
      </c>
      <c r="I230" t="str">
        <f>IF(H230=1,B230,"")</f>
        <v>Georgia</v>
      </c>
      <c r="K230">
        <v>1999</v>
      </c>
      <c r="L230">
        <v>2</v>
      </c>
      <c r="M230">
        <v>1</v>
      </c>
    </row>
    <row r="231" spans="1:13" ht="15.75" customHeight="1" x14ac:dyDescent="0.2">
      <c r="A231">
        <f t="shared" si="8"/>
        <v>0</v>
      </c>
      <c r="B231" t="s">
        <v>29</v>
      </c>
      <c r="C231" t="s">
        <v>19</v>
      </c>
      <c r="D231" t="s">
        <v>151</v>
      </c>
      <c r="E231">
        <v>3</v>
      </c>
      <c r="F231">
        <v>2005</v>
      </c>
      <c r="G231">
        <v>1</v>
      </c>
      <c r="H231">
        <v>0</v>
      </c>
      <c r="I231" t="str">
        <f>IF(H231=1,B231,"")</f>
        <v/>
      </c>
      <c r="K231">
        <v>2005</v>
      </c>
      <c r="L231">
        <v>1</v>
      </c>
      <c r="M231">
        <v>0</v>
      </c>
    </row>
    <row r="232" spans="1:13" ht="15.75" customHeight="1" x14ac:dyDescent="0.2">
      <c r="A232">
        <f t="shared" si="8"/>
        <v>1</v>
      </c>
      <c r="B232" t="s">
        <v>111</v>
      </c>
      <c r="C232" t="s">
        <v>95</v>
      </c>
      <c r="D232" t="s">
        <v>244</v>
      </c>
      <c r="E232" t="s">
        <v>215</v>
      </c>
      <c r="F232">
        <v>1987</v>
      </c>
      <c r="G232">
        <v>1</v>
      </c>
      <c r="H232">
        <v>1</v>
      </c>
      <c r="I232" t="str">
        <f>IF(H232=1,B232,"")</f>
        <v>Ghana</v>
      </c>
      <c r="L232">
        <v>21</v>
      </c>
      <c r="M232">
        <v>1</v>
      </c>
    </row>
    <row r="233" spans="1:13" ht="15.75" customHeight="1" x14ac:dyDescent="0.2">
      <c r="A233">
        <f t="shared" si="8"/>
        <v>1</v>
      </c>
      <c r="B233" t="s">
        <v>111</v>
      </c>
      <c r="C233" t="s">
        <v>95</v>
      </c>
      <c r="D233" t="s">
        <v>281</v>
      </c>
      <c r="E233" t="s">
        <v>252</v>
      </c>
      <c r="F233">
        <v>1988</v>
      </c>
      <c r="G233">
        <v>1</v>
      </c>
      <c r="H233">
        <v>1</v>
      </c>
      <c r="I233" t="str">
        <f>IF(H233=1,B233,"")</f>
        <v>Ghana</v>
      </c>
      <c r="L233">
        <v>20</v>
      </c>
      <c r="M233">
        <v>0</v>
      </c>
    </row>
    <row r="234" spans="1:13" ht="15.75" customHeight="1" x14ac:dyDescent="0.2">
      <c r="A234">
        <f t="shared" si="8"/>
        <v>1</v>
      </c>
      <c r="B234" t="s">
        <v>111</v>
      </c>
      <c r="C234" t="s">
        <v>95</v>
      </c>
      <c r="D234" t="s">
        <v>244</v>
      </c>
      <c r="E234" t="s">
        <v>215</v>
      </c>
      <c r="F234">
        <v>1988</v>
      </c>
      <c r="G234">
        <v>1</v>
      </c>
      <c r="H234">
        <v>0</v>
      </c>
      <c r="L234">
        <v>19</v>
      </c>
      <c r="M234">
        <v>0</v>
      </c>
    </row>
    <row r="235" spans="1:13" ht="15.75" customHeight="1" x14ac:dyDescent="0.2">
      <c r="A235">
        <f t="shared" si="8"/>
        <v>1</v>
      </c>
      <c r="B235" t="s">
        <v>111</v>
      </c>
      <c r="C235" t="s">
        <v>95</v>
      </c>
      <c r="D235" t="s">
        <v>244</v>
      </c>
      <c r="E235" t="s">
        <v>215</v>
      </c>
      <c r="F235">
        <v>1991</v>
      </c>
      <c r="G235">
        <v>1</v>
      </c>
      <c r="H235">
        <v>0</v>
      </c>
      <c r="L235">
        <v>18</v>
      </c>
      <c r="M235">
        <v>0</v>
      </c>
    </row>
    <row r="236" spans="1:13" ht="15.75" customHeight="1" x14ac:dyDescent="0.2">
      <c r="A236">
        <f t="shared" si="8"/>
        <v>1</v>
      </c>
      <c r="B236" t="s">
        <v>111</v>
      </c>
      <c r="C236" t="s">
        <v>95</v>
      </c>
      <c r="D236" t="s">
        <v>281</v>
      </c>
      <c r="E236" t="s">
        <v>252</v>
      </c>
      <c r="F236">
        <v>1993</v>
      </c>
      <c r="G236">
        <v>1</v>
      </c>
      <c r="H236">
        <v>0</v>
      </c>
      <c r="L236">
        <v>17</v>
      </c>
      <c r="M236">
        <v>0</v>
      </c>
    </row>
    <row r="237" spans="1:13" ht="15.75" customHeight="1" x14ac:dyDescent="0.2">
      <c r="A237">
        <f t="shared" si="8"/>
        <v>1</v>
      </c>
      <c r="B237" t="s">
        <v>111</v>
      </c>
      <c r="C237" t="s">
        <v>95</v>
      </c>
      <c r="D237" t="s">
        <v>151</v>
      </c>
      <c r="E237">
        <v>1</v>
      </c>
      <c r="F237">
        <v>1995</v>
      </c>
      <c r="G237">
        <v>1</v>
      </c>
      <c r="H237">
        <v>1</v>
      </c>
      <c r="I237" t="str">
        <f>IF(H237=1,B237,"")</f>
        <v>Ghana</v>
      </c>
      <c r="K237">
        <v>1995</v>
      </c>
      <c r="L237">
        <v>16</v>
      </c>
      <c r="M237">
        <v>0</v>
      </c>
    </row>
    <row r="238" spans="1:13" ht="15.75" customHeight="1" x14ac:dyDescent="0.2">
      <c r="A238">
        <f t="shared" si="8"/>
        <v>1</v>
      </c>
      <c r="B238" t="s">
        <v>111</v>
      </c>
      <c r="C238" t="s">
        <v>95</v>
      </c>
      <c r="D238" t="s">
        <v>304</v>
      </c>
      <c r="E238" t="s">
        <v>304</v>
      </c>
      <c r="F238">
        <v>1997</v>
      </c>
      <c r="G238">
        <v>1</v>
      </c>
      <c r="H238">
        <v>1</v>
      </c>
      <c r="I238" t="str">
        <f>IF(H238=1,B238,"")</f>
        <v>Ghana</v>
      </c>
      <c r="L238">
        <v>15</v>
      </c>
      <c r="M238">
        <v>0</v>
      </c>
    </row>
    <row r="239" spans="1:13" ht="15.75" customHeight="1" x14ac:dyDescent="0.2">
      <c r="A239">
        <f t="shared" si="8"/>
        <v>1</v>
      </c>
      <c r="B239" t="s">
        <v>111</v>
      </c>
      <c r="C239" t="s">
        <v>95</v>
      </c>
      <c r="D239" t="s">
        <v>281</v>
      </c>
      <c r="E239" t="s">
        <v>252</v>
      </c>
      <c r="F239">
        <v>1998</v>
      </c>
      <c r="G239">
        <v>1</v>
      </c>
      <c r="H239">
        <v>0</v>
      </c>
      <c r="L239">
        <v>14</v>
      </c>
      <c r="M239">
        <v>0</v>
      </c>
    </row>
    <row r="240" spans="1:13" ht="15.75" customHeight="1" x14ac:dyDescent="0.2">
      <c r="A240">
        <f t="shared" si="8"/>
        <v>1</v>
      </c>
      <c r="B240" t="s">
        <v>111</v>
      </c>
      <c r="C240" t="s">
        <v>95</v>
      </c>
      <c r="D240" t="s">
        <v>244</v>
      </c>
      <c r="E240" t="s">
        <v>215</v>
      </c>
      <c r="F240">
        <v>1998</v>
      </c>
      <c r="G240">
        <v>1</v>
      </c>
      <c r="H240">
        <v>0</v>
      </c>
      <c r="L240">
        <v>13</v>
      </c>
      <c r="M240">
        <v>0</v>
      </c>
    </row>
    <row r="241" spans="1:13" ht="15.75" customHeight="1" x14ac:dyDescent="0.2">
      <c r="A241">
        <f t="shared" si="8"/>
        <v>1</v>
      </c>
      <c r="B241" t="s">
        <v>111</v>
      </c>
      <c r="C241" t="s">
        <v>95</v>
      </c>
      <c r="D241" t="s">
        <v>281</v>
      </c>
      <c r="E241" t="s">
        <v>252</v>
      </c>
      <c r="F241">
        <v>2002</v>
      </c>
      <c r="G241">
        <v>1</v>
      </c>
      <c r="H241">
        <v>0</v>
      </c>
      <c r="L241">
        <v>12</v>
      </c>
      <c r="M241">
        <v>0</v>
      </c>
    </row>
    <row r="242" spans="1:13" x14ac:dyDescent="0.2">
      <c r="A242">
        <f t="shared" si="8"/>
        <v>1</v>
      </c>
      <c r="B242" t="s">
        <v>111</v>
      </c>
      <c r="C242" t="s">
        <v>95</v>
      </c>
      <c r="D242" t="s">
        <v>304</v>
      </c>
      <c r="E242" t="s">
        <v>304</v>
      </c>
      <c r="F242">
        <v>2003</v>
      </c>
      <c r="G242">
        <v>1</v>
      </c>
      <c r="H242">
        <v>0</v>
      </c>
      <c r="L242">
        <v>11</v>
      </c>
      <c r="M242">
        <v>0</v>
      </c>
    </row>
    <row r="243" spans="1:13" ht="15.75" customHeight="1" x14ac:dyDescent="0.2">
      <c r="A243">
        <f t="shared" si="8"/>
        <v>1</v>
      </c>
      <c r="B243" t="s">
        <v>111</v>
      </c>
      <c r="C243" t="s">
        <v>95</v>
      </c>
      <c r="D243" t="s">
        <v>281</v>
      </c>
      <c r="E243" t="s">
        <v>252</v>
      </c>
      <c r="F243">
        <v>2003</v>
      </c>
      <c r="G243">
        <v>1</v>
      </c>
      <c r="H243">
        <v>0</v>
      </c>
      <c r="L243">
        <v>10</v>
      </c>
      <c r="M243">
        <v>0</v>
      </c>
    </row>
    <row r="244" spans="1:13" ht="15.75" customHeight="1" x14ac:dyDescent="0.2">
      <c r="A244">
        <f t="shared" si="8"/>
        <v>1</v>
      </c>
      <c r="B244" t="s">
        <v>111</v>
      </c>
      <c r="C244" t="s">
        <v>95</v>
      </c>
      <c r="D244" t="s">
        <v>244</v>
      </c>
      <c r="E244" t="s">
        <v>215</v>
      </c>
      <c r="F244">
        <v>2006</v>
      </c>
      <c r="G244">
        <v>1</v>
      </c>
      <c r="H244">
        <v>0</v>
      </c>
      <c r="K244">
        <v>2005</v>
      </c>
      <c r="L244">
        <v>9</v>
      </c>
      <c r="M244">
        <v>0</v>
      </c>
    </row>
    <row r="245" spans="1:13" ht="15.75" customHeight="1" x14ac:dyDescent="0.2">
      <c r="A245">
        <f t="shared" si="8"/>
        <v>1</v>
      </c>
      <c r="B245" t="s">
        <v>111</v>
      </c>
      <c r="C245" t="s">
        <v>95</v>
      </c>
      <c r="D245" t="s">
        <v>151</v>
      </c>
      <c r="E245">
        <v>3</v>
      </c>
      <c r="F245">
        <v>2006</v>
      </c>
      <c r="G245">
        <v>1</v>
      </c>
      <c r="H245">
        <v>0</v>
      </c>
      <c r="I245" t="str">
        <f>IF(H245=1,B245,"")</f>
        <v/>
      </c>
      <c r="K245">
        <v>2006</v>
      </c>
      <c r="L245">
        <v>8</v>
      </c>
      <c r="M245">
        <v>0</v>
      </c>
    </row>
    <row r="246" spans="1:13" ht="15.75" customHeight="1" x14ac:dyDescent="0.2">
      <c r="A246">
        <f t="shared" si="8"/>
        <v>1</v>
      </c>
      <c r="B246" t="s">
        <v>111</v>
      </c>
      <c r="C246" t="s">
        <v>95</v>
      </c>
      <c r="D246" t="s">
        <v>281</v>
      </c>
      <c r="E246" t="s">
        <v>252</v>
      </c>
      <c r="F246">
        <v>2007</v>
      </c>
      <c r="G246">
        <v>1</v>
      </c>
      <c r="H246">
        <v>0</v>
      </c>
      <c r="L246">
        <v>7</v>
      </c>
      <c r="M246">
        <v>0</v>
      </c>
    </row>
    <row r="247" spans="1:13" ht="15.75" customHeight="1" x14ac:dyDescent="0.2">
      <c r="A247">
        <f t="shared" si="8"/>
        <v>1</v>
      </c>
      <c r="B247" t="s">
        <v>111</v>
      </c>
      <c r="C247" t="s">
        <v>95</v>
      </c>
      <c r="D247" t="s">
        <v>151</v>
      </c>
      <c r="E247">
        <v>3</v>
      </c>
      <c r="F247">
        <v>2007</v>
      </c>
      <c r="G247">
        <v>1</v>
      </c>
      <c r="H247">
        <v>0</v>
      </c>
      <c r="I247" t="str">
        <f>IF(H247=1,B247,"")</f>
        <v/>
      </c>
      <c r="J247" t="s">
        <v>198</v>
      </c>
      <c r="K247">
        <v>2007</v>
      </c>
      <c r="L247">
        <v>6</v>
      </c>
      <c r="M247">
        <v>0</v>
      </c>
    </row>
    <row r="248" spans="1:13" ht="15.75" customHeight="1" x14ac:dyDescent="0.2">
      <c r="A248">
        <f t="shared" si="8"/>
        <v>1</v>
      </c>
      <c r="B248" t="s">
        <v>111</v>
      </c>
      <c r="C248" t="s">
        <v>95</v>
      </c>
      <c r="D248" t="s">
        <v>281</v>
      </c>
      <c r="E248" t="s">
        <v>252</v>
      </c>
      <c r="F248">
        <v>2008</v>
      </c>
      <c r="G248">
        <v>1</v>
      </c>
      <c r="H248">
        <v>0</v>
      </c>
      <c r="L248">
        <v>5</v>
      </c>
      <c r="M248">
        <v>0</v>
      </c>
    </row>
    <row r="249" spans="1:13" ht="15.75" customHeight="1" x14ac:dyDescent="0.2">
      <c r="A249">
        <f t="shared" si="8"/>
        <v>1</v>
      </c>
      <c r="B249" t="s">
        <v>111</v>
      </c>
      <c r="C249" t="s">
        <v>95</v>
      </c>
      <c r="D249" t="s">
        <v>281</v>
      </c>
      <c r="E249" t="s">
        <v>252</v>
      </c>
      <c r="F249">
        <v>2011</v>
      </c>
      <c r="G249">
        <v>1</v>
      </c>
      <c r="H249">
        <v>0</v>
      </c>
      <c r="L249">
        <v>4</v>
      </c>
      <c r="M249">
        <v>0</v>
      </c>
    </row>
    <row r="250" spans="1:13" ht="15.75" customHeight="1" x14ac:dyDescent="0.2">
      <c r="A250">
        <f t="shared" si="8"/>
        <v>1</v>
      </c>
      <c r="B250" t="s">
        <v>111</v>
      </c>
      <c r="C250" t="s">
        <v>95</v>
      </c>
      <c r="D250" t="s">
        <v>151</v>
      </c>
      <c r="E250">
        <v>4</v>
      </c>
      <c r="F250">
        <v>2011</v>
      </c>
      <c r="G250">
        <v>1</v>
      </c>
      <c r="H250">
        <v>0</v>
      </c>
      <c r="I250" t="str">
        <f>IF(H250=1,B250,"")</f>
        <v/>
      </c>
      <c r="J250" t="s">
        <v>199</v>
      </c>
      <c r="K250">
        <v>2010</v>
      </c>
      <c r="L250">
        <v>3</v>
      </c>
      <c r="M250">
        <v>0</v>
      </c>
    </row>
    <row r="251" spans="1:13" ht="15.75" customHeight="1" x14ac:dyDescent="0.2">
      <c r="A251">
        <f t="shared" si="8"/>
        <v>1</v>
      </c>
      <c r="B251" t="s">
        <v>111</v>
      </c>
      <c r="C251" t="s">
        <v>95</v>
      </c>
      <c r="D251" t="s">
        <v>151</v>
      </c>
      <c r="E251">
        <v>4</v>
      </c>
      <c r="F251">
        <v>2011</v>
      </c>
      <c r="G251">
        <v>1</v>
      </c>
      <c r="H251">
        <v>0</v>
      </c>
      <c r="I251" t="str">
        <f>IF(H251=1,B251,"")</f>
        <v/>
      </c>
      <c r="K251">
        <v>2011</v>
      </c>
      <c r="L251">
        <v>2</v>
      </c>
      <c r="M251">
        <v>0</v>
      </c>
    </row>
    <row r="252" spans="1:13" ht="15.75" customHeight="1" x14ac:dyDescent="0.2">
      <c r="A252">
        <f t="shared" si="8"/>
        <v>0</v>
      </c>
      <c r="B252" s="97" t="s">
        <v>111</v>
      </c>
      <c r="C252" s="97"/>
      <c r="D252" s="97" t="s">
        <v>281</v>
      </c>
      <c r="E252" s="96" t="s">
        <v>486</v>
      </c>
      <c r="F252" s="97">
        <v>2014</v>
      </c>
      <c r="G252" s="97">
        <v>1</v>
      </c>
      <c r="H252" s="97">
        <v>0</v>
      </c>
      <c r="I252" s="97"/>
      <c r="J252" s="97"/>
      <c r="K252" s="97"/>
      <c r="L252" s="97">
        <v>1</v>
      </c>
      <c r="M252">
        <v>0</v>
      </c>
    </row>
    <row r="253" spans="1:13" x14ac:dyDescent="0.2">
      <c r="A253">
        <f t="shared" si="8"/>
        <v>0</v>
      </c>
      <c r="B253" t="s">
        <v>429</v>
      </c>
      <c r="C253" t="s">
        <v>469</v>
      </c>
      <c r="D253" t="s">
        <v>304</v>
      </c>
      <c r="E253"/>
      <c r="F253">
        <v>2005</v>
      </c>
      <c r="G253">
        <v>1</v>
      </c>
      <c r="H253">
        <v>1</v>
      </c>
      <c r="I253" t="str">
        <f>IF(H253=1,B253,"")</f>
        <v>Grenada</v>
      </c>
      <c r="K253">
        <v>2005</v>
      </c>
      <c r="L253">
        <v>1</v>
      </c>
      <c r="M253">
        <v>1</v>
      </c>
    </row>
    <row r="254" spans="1:13" ht="15.75" customHeight="1" x14ac:dyDescent="0.2">
      <c r="A254">
        <f t="shared" si="8"/>
        <v>1</v>
      </c>
      <c r="B254" t="s">
        <v>59</v>
      </c>
      <c r="C254" t="s">
        <v>469</v>
      </c>
      <c r="D254" t="s">
        <v>281</v>
      </c>
      <c r="E254" t="s">
        <v>254</v>
      </c>
      <c r="F254">
        <v>1987</v>
      </c>
      <c r="G254">
        <v>1</v>
      </c>
      <c r="H254">
        <v>1</v>
      </c>
      <c r="I254" t="str">
        <f>IF(H254=1,B254,"")</f>
        <v>Guatemala</v>
      </c>
      <c r="L254">
        <v>6</v>
      </c>
      <c r="M254">
        <v>1</v>
      </c>
    </row>
    <row r="255" spans="1:13" ht="15.75" customHeight="1" x14ac:dyDescent="0.2">
      <c r="A255">
        <f t="shared" si="8"/>
        <v>1</v>
      </c>
      <c r="B255" t="s">
        <v>59</v>
      </c>
      <c r="C255" t="s">
        <v>469</v>
      </c>
      <c r="D255" t="s">
        <v>281</v>
      </c>
      <c r="E255" t="s">
        <v>284</v>
      </c>
      <c r="F255">
        <v>1995</v>
      </c>
      <c r="G255">
        <v>1</v>
      </c>
      <c r="H255">
        <v>0</v>
      </c>
      <c r="L255">
        <v>5</v>
      </c>
      <c r="M255">
        <v>0</v>
      </c>
    </row>
    <row r="256" spans="1:13" ht="15.75" customHeight="1" x14ac:dyDescent="0.2">
      <c r="A256">
        <f t="shared" si="8"/>
        <v>1</v>
      </c>
      <c r="B256" t="s">
        <v>59</v>
      </c>
      <c r="C256" t="s">
        <v>469</v>
      </c>
      <c r="D256" t="s">
        <v>281</v>
      </c>
      <c r="E256" t="s">
        <v>281</v>
      </c>
      <c r="F256">
        <v>1997</v>
      </c>
      <c r="G256">
        <v>1</v>
      </c>
      <c r="H256">
        <v>0</v>
      </c>
      <c r="L256">
        <v>4</v>
      </c>
      <c r="M256">
        <v>0</v>
      </c>
    </row>
    <row r="257" spans="1:13" ht="15.75" customHeight="1" x14ac:dyDescent="0.2">
      <c r="A257">
        <f t="shared" si="8"/>
        <v>1</v>
      </c>
      <c r="B257" t="s">
        <v>59</v>
      </c>
      <c r="C257" t="s">
        <v>469</v>
      </c>
      <c r="D257" t="s">
        <v>281</v>
      </c>
      <c r="E257" t="s">
        <v>252</v>
      </c>
      <c r="F257">
        <v>1997</v>
      </c>
      <c r="G257">
        <v>1</v>
      </c>
      <c r="H257">
        <v>0</v>
      </c>
      <c r="L257">
        <v>3</v>
      </c>
      <c r="M257">
        <v>0</v>
      </c>
    </row>
    <row r="258" spans="1:13" ht="15.75" customHeight="1" x14ac:dyDescent="0.2">
      <c r="A258">
        <f t="shared" si="8"/>
        <v>1</v>
      </c>
      <c r="B258" t="s">
        <v>59</v>
      </c>
      <c r="C258" t="s">
        <v>469</v>
      </c>
      <c r="D258" t="s">
        <v>281</v>
      </c>
      <c r="E258" t="s">
        <v>252</v>
      </c>
      <c r="F258">
        <v>1999</v>
      </c>
      <c r="G258">
        <v>1</v>
      </c>
      <c r="H258">
        <v>0</v>
      </c>
      <c r="L258">
        <v>2</v>
      </c>
      <c r="M258">
        <v>0</v>
      </c>
    </row>
    <row r="259" spans="1:13" x14ac:dyDescent="0.2">
      <c r="A259">
        <f t="shared" si="8"/>
        <v>0</v>
      </c>
      <c r="B259" t="s">
        <v>59</v>
      </c>
      <c r="C259" t="s">
        <v>469</v>
      </c>
      <c r="D259" t="s">
        <v>244</v>
      </c>
      <c r="E259" t="s">
        <v>216</v>
      </c>
      <c r="F259">
        <v>2000</v>
      </c>
      <c r="G259">
        <v>1</v>
      </c>
      <c r="H259">
        <v>1</v>
      </c>
      <c r="I259" t="str">
        <f>IF(H259=1,B259,"")</f>
        <v>Guatemala</v>
      </c>
      <c r="J259" t="s">
        <v>459</v>
      </c>
      <c r="L259">
        <v>1</v>
      </c>
      <c r="M259">
        <v>0</v>
      </c>
    </row>
    <row r="260" spans="1:13" ht="15.75" customHeight="1" x14ac:dyDescent="0.2">
      <c r="A260">
        <f t="shared" si="8"/>
        <v>1</v>
      </c>
      <c r="B260" t="s">
        <v>112</v>
      </c>
      <c r="C260" t="s">
        <v>95</v>
      </c>
      <c r="D260" t="s">
        <v>281</v>
      </c>
      <c r="E260" t="s">
        <v>252</v>
      </c>
      <c r="F260">
        <v>1992</v>
      </c>
      <c r="G260">
        <v>1</v>
      </c>
      <c r="H260">
        <v>1</v>
      </c>
      <c r="L260">
        <v>6</v>
      </c>
      <c r="M260">
        <v>1</v>
      </c>
    </row>
    <row r="261" spans="1:13" ht="15.75" customHeight="1" x14ac:dyDescent="0.2">
      <c r="A261">
        <f t="shared" si="8"/>
        <v>1</v>
      </c>
      <c r="B261" t="s">
        <v>112</v>
      </c>
      <c r="C261" t="s">
        <v>95</v>
      </c>
      <c r="D261" t="s">
        <v>281</v>
      </c>
      <c r="E261" t="s">
        <v>252</v>
      </c>
      <c r="F261">
        <v>1999</v>
      </c>
      <c r="G261">
        <v>1</v>
      </c>
      <c r="H261">
        <v>0</v>
      </c>
      <c r="L261">
        <v>5</v>
      </c>
      <c r="M261">
        <v>0</v>
      </c>
    </row>
    <row r="262" spans="1:13" ht="15.75" customHeight="1" x14ac:dyDescent="0.2">
      <c r="A262">
        <f t="shared" si="8"/>
        <v>1</v>
      </c>
      <c r="B262" t="s">
        <v>112</v>
      </c>
      <c r="C262" t="s">
        <v>95</v>
      </c>
      <c r="D262" t="s">
        <v>304</v>
      </c>
      <c r="E262" t="s">
        <v>304</v>
      </c>
      <c r="F262">
        <v>2002</v>
      </c>
      <c r="G262">
        <v>1</v>
      </c>
      <c r="H262">
        <v>1</v>
      </c>
      <c r="I262" t="str">
        <f>IF(H262=1,B262,"")</f>
        <v>Guinea</v>
      </c>
      <c r="L262">
        <v>4</v>
      </c>
      <c r="M262">
        <v>0</v>
      </c>
    </row>
    <row r="263" spans="1:13" ht="15.75" customHeight="1" x14ac:dyDescent="0.2">
      <c r="A263">
        <f t="shared" si="8"/>
        <v>1</v>
      </c>
      <c r="B263" t="s">
        <v>112</v>
      </c>
      <c r="C263" t="s">
        <v>95</v>
      </c>
      <c r="D263" t="s">
        <v>281</v>
      </c>
      <c r="E263" t="s">
        <v>254</v>
      </c>
      <c r="F263">
        <v>2005</v>
      </c>
      <c r="G263">
        <v>1</v>
      </c>
      <c r="H263">
        <v>0</v>
      </c>
      <c r="L263">
        <v>3</v>
      </c>
      <c r="M263">
        <v>0</v>
      </c>
    </row>
    <row r="264" spans="1:13" ht="15.75" customHeight="1" x14ac:dyDescent="0.2">
      <c r="A264">
        <f t="shared" si="8"/>
        <v>1</v>
      </c>
      <c r="B264" t="s">
        <v>112</v>
      </c>
      <c r="C264" t="s">
        <v>95</v>
      </c>
      <c r="D264" t="s">
        <v>304</v>
      </c>
      <c r="E264" t="s">
        <v>430</v>
      </c>
      <c r="F264">
        <v>2007</v>
      </c>
      <c r="G264">
        <v>1</v>
      </c>
      <c r="H264">
        <v>0</v>
      </c>
      <c r="L264">
        <v>2</v>
      </c>
      <c r="M264">
        <v>0</v>
      </c>
    </row>
    <row r="265" spans="1:13" ht="15.75" customHeight="1" x14ac:dyDescent="0.2">
      <c r="A265">
        <f t="shared" ref="A265:A328" si="9">IF(B265=B266,1,0)</f>
        <v>0</v>
      </c>
      <c r="B265" s="105" t="s">
        <v>112</v>
      </c>
      <c r="C265" s="105" t="s">
        <v>95</v>
      </c>
      <c r="D265" s="105" t="s">
        <v>281</v>
      </c>
      <c r="E265" s="105" t="s">
        <v>252</v>
      </c>
      <c r="F265" s="105">
        <v>2012</v>
      </c>
      <c r="G265" s="105">
        <v>1</v>
      </c>
      <c r="H265" s="105">
        <v>0</v>
      </c>
      <c r="I265" s="105"/>
      <c r="J265" s="105"/>
      <c r="K265" s="105"/>
      <c r="L265" s="105">
        <v>1</v>
      </c>
      <c r="M265" s="105">
        <v>0</v>
      </c>
    </row>
    <row r="266" spans="1:13" ht="15.75" customHeight="1" x14ac:dyDescent="0.2">
      <c r="A266">
        <f t="shared" si="9"/>
        <v>1</v>
      </c>
      <c r="B266" t="s">
        <v>113</v>
      </c>
      <c r="C266" t="s">
        <v>95</v>
      </c>
      <c r="D266" t="s">
        <v>151</v>
      </c>
      <c r="E266">
        <v>2</v>
      </c>
      <c r="F266">
        <v>2000</v>
      </c>
      <c r="G266">
        <v>1</v>
      </c>
      <c r="H266">
        <v>1</v>
      </c>
      <c r="I266" t="str">
        <f t="shared" ref="I266:I271" si="10">IF(H266=1,B266,"")</f>
        <v>Guinea-Bissau</v>
      </c>
      <c r="K266">
        <v>2000</v>
      </c>
      <c r="L266">
        <v>3</v>
      </c>
      <c r="M266">
        <v>1</v>
      </c>
    </row>
    <row r="267" spans="1:13" ht="15.75" customHeight="1" x14ac:dyDescent="0.2">
      <c r="A267">
        <f t="shared" si="9"/>
        <v>1</v>
      </c>
      <c r="B267" t="s">
        <v>113</v>
      </c>
      <c r="C267" t="s">
        <v>95</v>
      </c>
      <c r="D267" t="s">
        <v>151</v>
      </c>
      <c r="E267">
        <v>3</v>
      </c>
      <c r="F267">
        <v>2006</v>
      </c>
      <c r="G267">
        <v>1</v>
      </c>
      <c r="H267">
        <v>0</v>
      </c>
      <c r="I267" t="str">
        <f t="shared" si="10"/>
        <v/>
      </c>
      <c r="K267">
        <v>2006</v>
      </c>
      <c r="L267">
        <v>2</v>
      </c>
      <c r="M267">
        <v>0</v>
      </c>
    </row>
    <row r="268" spans="1:13" ht="15.75" customHeight="1" x14ac:dyDescent="0.2">
      <c r="A268">
        <f t="shared" si="9"/>
        <v>0</v>
      </c>
      <c r="B268" t="s">
        <v>113</v>
      </c>
      <c r="C268" t="s">
        <v>95</v>
      </c>
      <c r="D268" t="s">
        <v>151</v>
      </c>
      <c r="E268">
        <v>4</v>
      </c>
      <c r="F268">
        <v>2010</v>
      </c>
      <c r="G268">
        <v>1</v>
      </c>
      <c r="H268">
        <v>0</v>
      </c>
      <c r="I268" t="str">
        <f t="shared" si="10"/>
        <v/>
      </c>
      <c r="K268">
        <v>2010</v>
      </c>
      <c r="L268">
        <v>1</v>
      </c>
      <c r="M268">
        <v>0</v>
      </c>
    </row>
    <row r="269" spans="1:13" x14ac:dyDescent="0.2">
      <c r="A269">
        <f t="shared" si="9"/>
        <v>1</v>
      </c>
      <c r="B269" t="s">
        <v>60</v>
      </c>
      <c r="C269" t="s">
        <v>469</v>
      </c>
      <c r="D269" t="s">
        <v>244</v>
      </c>
      <c r="E269" t="s">
        <v>203</v>
      </c>
      <c r="F269">
        <v>1992</v>
      </c>
      <c r="G269">
        <v>1</v>
      </c>
      <c r="H269">
        <v>1</v>
      </c>
      <c r="I269" t="str">
        <f t="shared" si="10"/>
        <v>Guyana</v>
      </c>
      <c r="L269">
        <v>6</v>
      </c>
      <c r="M269">
        <v>1</v>
      </c>
    </row>
    <row r="270" spans="1:13" ht="15.75" customHeight="1" x14ac:dyDescent="0.2">
      <c r="A270">
        <f t="shared" si="9"/>
        <v>1</v>
      </c>
      <c r="B270" t="s">
        <v>60</v>
      </c>
      <c r="C270" t="s">
        <v>469</v>
      </c>
      <c r="D270" t="s">
        <v>151</v>
      </c>
      <c r="E270">
        <v>2</v>
      </c>
      <c r="F270">
        <v>2000</v>
      </c>
      <c r="G270">
        <v>1</v>
      </c>
      <c r="H270">
        <v>1</v>
      </c>
      <c r="I270" t="str">
        <f t="shared" si="10"/>
        <v>Guyana</v>
      </c>
      <c r="K270">
        <v>2000</v>
      </c>
      <c r="L270">
        <v>5</v>
      </c>
      <c r="M270">
        <v>0</v>
      </c>
    </row>
    <row r="271" spans="1:13" ht="15.75" customHeight="1" x14ac:dyDescent="0.2">
      <c r="A271">
        <f t="shared" si="9"/>
        <v>1</v>
      </c>
      <c r="B271" t="s">
        <v>60</v>
      </c>
      <c r="C271" t="s">
        <v>469</v>
      </c>
      <c r="D271" t="s">
        <v>281</v>
      </c>
      <c r="E271" t="s">
        <v>253</v>
      </c>
      <c r="F271">
        <v>2004</v>
      </c>
      <c r="G271">
        <v>1</v>
      </c>
      <c r="H271">
        <v>1</v>
      </c>
      <c r="I271" t="str">
        <f t="shared" si="10"/>
        <v>Guyana</v>
      </c>
      <c r="L271">
        <v>4</v>
      </c>
      <c r="M271">
        <v>0</v>
      </c>
    </row>
    <row r="272" spans="1:13" ht="15.75" customHeight="1" x14ac:dyDescent="0.2">
      <c r="A272">
        <f t="shared" si="9"/>
        <v>1</v>
      </c>
      <c r="B272" t="s">
        <v>60</v>
      </c>
      <c r="C272" t="s">
        <v>469</v>
      </c>
      <c r="D272" t="s">
        <v>281</v>
      </c>
      <c r="E272" t="s">
        <v>253</v>
      </c>
      <c r="F272">
        <v>2005</v>
      </c>
      <c r="G272">
        <v>1</v>
      </c>
      <c r="H272">
        <v>0</v>
      </c>
      <c r="L272">
        <v>3</v>
      </c>
      <c r="M272">
        <v>0</v>
      </c>
    </row>
    <row r="273" spans="1:13" x14ac:dyDescent="0.2">
      <c r="A273">
        <f t="shared" si="9"/>
        <v>1</v>
      </c>
      <c r="B273" t="s">
        <v>60</v>
      </c>
      <c r="C273" t="s">
        <v>469</v>
      </c>
      <c r="D273" t="s">
        <v>151</v>
      </c>
      <c r="E273">
        <v>3</v>
      </c>
      <c r="F273">
        <v>2007</v>
      </c>
      <c r="G273">
        <v>1</v>
      </c>
      <c r="H273">
        <v>0</v>
      </c>
      <c r="I273" t="str">
        <f>IF(H273=1,B273,"")</f>
        <v/>
      </c>
      <c r="K273">
        <v>2006</v>
      </c>
      <c r="L273">
        <v>2</v>
      </c>
      <c r="M273">
        <v>0</v>
      </c>
    </row>
    <row r="274" spans="1:13" ht="15.75" customHeight="1" x14ac:dyDescent="0.2">
      <c r="A274">
        <f t="shared" si="9"/>
        <v>0</v>
      </c>
      <c r="B274" t="s">
        <v>60</v>
      </c>
      <c r="C274" t="s">
        <v>469</v>
      </c>
      <c r="D274" t="s">
        <v>281</v>
      </c>
      <c r="E274" t="s">
        <v>252</v>
      </c>
      <c r="F274">
        <v>2009</v>
      </c>
      <c r="G274">
        <v>1</v>
      </c>
      <c r="H274">
        <v>0</v>
      </c>
      <c r="L274">
        <v>1</v>
      </c>
      <c r="M274">
        <v>0</v>
      </c>
    </row>
    <row r="275" spans="1:13" ht="15.75" customHeight="1" x14ac:dyDescent="0.2">
      <c r="A275">
        <f t="shared" si="9"/>
        <v>1</v>
      </c>
      <c r="B275" t="s">
        <v>61</v>
      </c>
      <c r="C275" t="s">
        <v>469</v>
      </c>
      <c r="D275" t="s">
        <v>281</v>
      </c>
      <c r="E275" t="s">
        <v>253</v>
      </c>
      <c r="F275">
        <v>1994</v>
      </c>
      <c r="G275">
        <v>1</v>
      </c>
      <c r="H275">
        <v>0</v>
      </c>
      <c r="L275">
        <v>5</v>
      </c>
      <c r="M275">
        <v>1</v>
      </c>
    </row>
    <row r="276" spans="1:13" ht="15.75" customHeight="1" x14ac:dyDescent="0.2">
      <c r="A276">
        <f t="shared" si="9"/>
        <v>1</v>
      </c>
      <c r="B276" t="s">
        <v>61</v>
      </c>
      <c r="C276" t="s">
        <v>469</v>
      </c>
      <c r="D276" t="s">
        <v>281</v>
      </c>
      <c r="E276" t="s">
        <v>253</v>
      </c>
      <c r="F276">
        <v>2000</v>
      </c>
      <c r="G276">
        <v>1</v>
      </c>
      <c r="H276">
        <v>1</v>
      </c>
      <c r="I276" t="str">
        <f>IF(H276=1,B276,"")</f>
        <v>Haiti</v>
      </c>
      <c r="L276">
        <v>4</v>
      </c>
      <c r="M276">
        <v>0</v>
      </c>
    </row>
    <row r="277" spans="1:13" ht="15.75" customHeight="1" x14ac:dyDescent="0.2">
      <c r="A277">
        <f t="shared" si="9"/>
        <v>1</v>
      </c>
      <c r="B277" t="s">
        <v>61</v>
      </c>
      <c r="C277" t="s">
        <v>469</v>
      </c>
      <c r="D277" t="s">
        <v>281</v>
      </c>
      <c r="E277" t="s">
        <v>279</v>
      </c>
      <c r="F277">
        <v>2006</v>
      </c>
      <c r="G277">
        <v>1</v>
      </c>
      <c r="H277">
        <v>0</v>
      </c>
      <c r="L277">
        <v>3</v>
      </c>
      <c r="M277">
        <v>0</v>
      </c>
    </row>
    <row r="278" spans="1:13" ht="15.75" customHeight="1" x14ac:dyDescent="0.2">
      <c r="A278">
        <f t="shared" si="9"/>
        <v>1</v>
      </c>
      <c r="B278" t="s">
        <v>61</v>
      </c>
      <c r="C278" t="s">
        <v>469</v>
      </c>
      <c r="D278" t="s">
        <v>281</v>
      </c>
      <c r="E278" t="s">
        <v>253</v>
      </c>
      <c r="F278">
        <v>2012</v>
      </c>
      <c r="G278">
        <v>1</v>
      </c>
      <c r="H278">
        <v>0</v>
      </c>
      <c r="L278">
        <v>2</v>
      </c>
      <c r="M278">
        <v>0</v>
      </c>
    </row>
    <row r="279" spans="1:13" ht="15.75" customHeight="1" x14ac:dyDescent="0.2">
      <c r="A279">
        <f t="shared" si="9"/>
        <v>0</v>
      </c>
      <c r="B279" t="s">
        <v>61</v>
      </c>
      <c r="C279" t="s">
        <v>469</v>
      </c>
      <c r="D279" t="s">
        <v>281</v>
      </c>
      <c r="E279" t="s">
        <v>253</v>
      </c>
      <c r="F279">
        <v>2013</v>
      </c>
      <c r="G279">
        <v>1</v>
      </c>
      <c r="H279">
        <v>0</v>
      </c>
      <c r="L279">
        <v>1</v>
      </c>
      <c r="M279">
        <v>0</v>
      </c>
    </row>
    <row r="280" spans="1:13" ht="15.75" customHeight="1" x14ac:dyDescent="0.2">
      <c r="A280">
        <f t="shared" si="9"/>
        <v>1</v>
      </c>
      <c r="B280" t="s">
        <v>62</v>
      </c>
      <c r="C280" t="s">
        <v>469</v>
      </c>
      <c r="D280" t="s">
        <v>281</v>
      </c>
      <c r="E280" t="s">
        <v>265</v>
      </c>
      <c r="F280">
        <v>2005</v>
      </c>
      <c r="G280">
        <v>1</v>
      </c>
      <c r="H280">
        <v>1</v>
      </c>
      <c r="I280" t="str">
        <f>IF(H280=1,B280,"")</f>
        <v>Honduras</v>
      </c>
      <c r="L280">
        <v>2</v>
      </c>
      <c r="M280">
        <v>1</v>
      </c>
    </row>
    <row r="281" spans="1:13" ht="15.75" customHeight="1" x14ac:dyDescent="0.2">
      <c r="A281">
        <f t="shared" si="9"/>
        <v>0</v>
      </c>
      <c r="B281" t="s">
        <v>62</v>
      </c>
      <c r="C281" t="s">
        <v>469</v>
      </c>
      <c r="D281" t="s">
        <v>281</v>
      </c>
      <c r="E281" t="s">
        <v>253</v>
      </c>
      <c r="F281">
        <v>2011</v>
      </c>
      <c r="G281">
        <v>1</v>
      </c>
      <c r="H281">
        <v>0</v>
      </c>
      <c r="L281">
        <v>1</v>
      </c>
      <c r="M281">
        <v>0</v>
      </c>
    </row>
    <row r="282" spans="1:13" ht="15.75" customHeight="1" x14ac:dyDescent="0.2">
      <c r="A282">
        <f t="shared" si="9"/>
        <v>1</v>
      </c>
      <c r="B282" t="s">
        <v>89</v>
      </c>
      <c r="C282" t="s">
        <v>87</v>
      </c>
      <c r="D282" t="s">
        <v>281</v>
      </c>
      <c r="E282" t="s">
        <v>253</v>
      </c>
      <c r="F282">
        <v>1993</v>
      </c>
      <c r="G282">
        <v>1</v>
      </c>
      <c r="H282">
        <v>1</v>
      </c>
      <c r="I282" t="str">
        <f>IF(H282=1,B282,"")</f>
        <v>India</v>
      </c>
      <c r="L282">
        <v>5</v>
      </c>
      <c r="M282">
        <v>1</v>
      </c>
    </row>
    <row r="283" spans="1:13" ht="15.75" customHeight="1" x14ac:dyDescent="0.2">
      <c r="A283">
        <f t="shared" si="9"/>
        <v>1</v>
      </c>
      <c r="B283" t="s">
        <v>89</v>
      </c>
      <c r="C283" t="s">
        <v>87</v>
      </c>
      <c r="D283" t="s">
        <v>244</v>
      </c>
      <c r="E283" t="s">
        <v>217</v>
      </c>
      <c r="F283">
        <v>1997</v>
      </c>
      <c r="G283">
        <v>1</v>
      </c>
      <c r="H283">
        <v>1</v>
      </c>
      <c r="I283" t="str">
        <f>IF(H283=1,B283,"")</f>
        <v>India</v>
      </c>
      <c r="L283">
        <v>4</v>
      </c>
      <c r="M283">
        <v>0</v>
      </c>
    </row>
    <row r="284" spans="1:13" ht="15.75" customHeight="1" x14ac:dyDescent="0.2">
      <c r="A284">
        <f t="shared" si="9"/>
        <v>1</v>
      </c>
      <c r="B284" t="s">
        <v>89</v>
      </c>
      <c r="C284" t="s">
        <v>87</v>
      </c>
      <c r="D284" t="s">
        <v>281</v>
      </c>
      <c r="E284" t="s">
        <v>253</v>
      </c>
      <c r="F284">
        <v>1999</v>
      </c>
      <c r="G284">
        <v>1</v>
      </c>
      <c r="H284">
        <v>0</v>
      </c>
      <c r="L284">
        <v>3</v>
      </c>
      <c r="M284">
        <v>0</v>
      </c>
    </row>
    <row r="285" spans="1:13" ht="15.75" customHeight="1" x14ac:dyDescent="0.2">
      <c r="A285">
        <f t="shared" si="9"/>
        <v>1</v>
      </c>
      <c r="B285" t="s">
        <v>89</v>
      </c>
      <c r="C285" t="s">
        <v>87</v>
      </c>
      <c r="D285" t="s">
        <v>151</v>
      </c>
      <c r="E285">
        <v>2</v>
      </c>
      <c r="F285">
        <v>2000</v>
      </c>
      <c r="G285">
        <v>1</v>
      </c>
      <c r="H285">
        <v>1</v>
      </c>
      <c r="I285" t="str">
        <f>IF(H285=1,B285,"")</f>
        <v>India</v>
      </c>
      <c r="K285">
        <v>2000</v>
      </c>
      <c r="L285">
        <v>2</v>
      </c>
      <c r="M285">
        <v>0</v>
      </c>
    </row>
    <row r="286" spans="1:13" ht="15.75" customHeight="1" x14ac:dyDescent="0.2">
      <c r="A286">
        <f t="shared" si="9"/>
        <v>0</v>
      </c>
      <c r="B286" t="s">
        <v>89</v>
      </c>
      <c r="C286" t="s">
        <v>87</v>
      </c>
      <c r="D286" t="s">
        <v>281</v>
      </c>
      <c r="E286" t="s">
        <v>253</v>
      </c>
      <c r="F286">
        <v>2005</v>
      </c>
      <c r="G286">
        <v>1</v>
      </c>
      <c r="H286">
        <v>0</v>
      </c>
      <c r="L286">
        <v>1</v>
      </c>
      <c r="M286">
        <v>0</v>
      </c>
    </row>
    <row r="287" spans="1:13" ht="15.75" customHeight="1" x14ac:dyDescent="0.2">
      <c r="A287">
        <f t="shared" si="9"/>
        <v>1</v>
      </c>
      <c r="B287" t="s">
        <v>10</v>
      </c>
      <c r="C287" t="s">
        <v>158</v>
      </c>
      <c r="D287" t="s">
        <v>281</v>
      </c>
      <c r="E287" t="s">
        <v>253</v>
      </c>
      <c r="F287">
        <v>1987</v>
      </c>
      <c r="G287">
        <v>1</v>
      </c>
      <c r="H287">
        <v>1</v>
      </c>
      <c r="I287" t="str">
        <f>IF(H287=1,B287,"")</f>
        <v>Indonesia</v>
      </c>
      <c r="L287">
        <v>12</v>
      </c>
      <c r="M287">
        <v>1</v>
      </c>
    </row>
    <row r="288" spans="1:13" ht="15.75" customHeight="1" x14ac:dyDescent="0.2">
      <c r="A288">
        <f t="shared" si="9"/>
        <v>1</v>
      </c>
      <c r="B288" t="s">
        <v>10</v>
      </c>
      <c r="C288" t="s">
        <v>158</v>
      </c>
      <c r="D288" t="s">
        <v>281</v>
      </c>
      <c r="E288" t="s">
        <v>265</v>
      </c>
      <c r="F288">
        <v>1991</v>
      </c>
      <c r="G288">
        <v>1</v>
      </c>
      <c r="H288">
        <v>0</v>
      </c>
      <c r="L288">
        <v>11</v>
      </c>
      <c r="M288">
        <v>0</v>
      </c>
    </row>
    <row r="289" spans="1:13" ht="15.75" customHeight="1" x14ac:dyDescent="0.2">
      <c r="A289">
        <f t="shared" si="9"/>
        <v>1</v>
      </c>
      <c r="B289" t="s">
        <v>10</v>
      </c>
      <c r="C289" t="s">
        <v>158</v>
      </c>
      <c r="D289" t="s">
        <v>281</v>
      </c>
      <c r="E289" t="s">
        <v>253</v>
      </c>
      <c r="F289">
        <v>1994</v>
      </c>
      <c r="G289">
        <v>1</v>
      </c>
      <c r="H289">
        <v>0</v>
      </c>
      <c r="L289">
        <v>10</v>
      </c>
      <c r="M289">
        <v>0</v>
      </c>
    </row>
    <row r="290" spans="1:13" ht="15.75" customHeight="1" x14ac:dyDescent="0.2">
      <c r="A290">
        <f t="shared" si="9"/>
        <v>1</v>
      </c>
      <c r="B290" t="s">
        <v>10</v>
      </c>
      <c r="C290" t="s">
        <v>158</v>
      </c>
      <c r="D290" t="s">
        <v>281</v>
      </c>
      <c r="E290" t="s">
        <v>253</v>
      </c>
      <c r="F290">
        <v>1997</v>
      </c>
      <c r="G290">
        <v>1</v>
      </c>
      <c r="H290">
        <v>0</v>
      </c>
      <c r="L290">
        <v>9</v>
      </c>
      <c r="M290">
        <v>0</v>
      </c>
    </row>
    <row r="291" spans="1:13" ht="15.75" customHeight="1" x14ac:dyDescent="0.2">
      <c r="A291">
        <f t="shared" si="9"/>
        <v>1</v>
      </c>
      <c r="B291" t="s">
        <v>10</v>
      </c>
      <c r="C291" t="s">
        <v>158</v>
      </c>
      <c r="D291" t="s">
        <v>151</v>
      </c>
      <c r="E291">
        <v>2</v>
      </c>
      <c r="F291">
        <v>2000</v>
      </c>
      <c r="G291">
        <v>1</v>
      </c>
      <c r="H291">
        <v>1</v>
      </c>
      <c r="I291" t="str">
        <f>IF(H291=1,B291,"")</f>
        <v>Indonesia</v>
      </c>
      <c r="K291">
        <v>2000</v>
      </c>
      <c r="L291">
        <v>8</v>
      </c>
      <c r="M291">
        <v>0</v>
      </c>
    </row>
    <row r="292" spans="1:13" ht="15.75" customHeight="1" x14ac:dyDescent="0.2">
      <c r="A292">
        <f t="shared" si="9"/>
        <v>1</v>
      </c>
      <c r="B292" t="s">
        <v>10</v>
      </c>
      <c r="C292" t="s">
        <v>158</v>
      </c>
      <c r="D292" t="s">
        <v>281</v>
      </c>
      <c r="E292" t="s">
        <v>253</v>
      </c>
      <c r="F292">
        <v>2002</v>
      </c>
      <c r="G292">
        <v>1</v>
      </c>
      <c r="H292">
        <v>0</v>
      </c>
      <c r="L292">
        <v>7</v>
      </c>
      <c r="M292">
        <v>0</v>
      </c>
    </row>
    <row r="293" spans="1:13" ht="15.75" customHeight="1" x14ac:dyDescent="0.2">
      <c r="A293">
        <f t="shared" si="9"/>
        <v>1</v>
      </c>
      <c r="B293" t="s">
        <v>10</v>
      </c>
      <c r="C293" t="s">
        <v>158</v>
      </c>
      <c r="D293" t="s">
        <v>281</v>
      </c>
      <c r="E293" t="s">
        <v>253</v>
      </c>
      <c r="F293">
        <v>2003</v>
      </c>
      <c r="G293">
        <v>1</v>
      </c>
      <c r="H293">
        <v>0</v>
      </c>
      <c r="L293">
        <v>6</v>
      </c>
      <c r="M293">
        <v>0</v>
      </c>
    </row>
    <row r="294" spans="1:13" ht="15.75" customHeight="1" x14ac:dyDescent="0.2">
      <c r="A294">
        <f t="shared" si="9"/>
        <v>1</v>
      </c>
      <c r="B294" t="s">
        <v>10</v>
      </c>
      <c r="C294" t="s">
        <v>158</v>
      </c>
      <c r="D294" t="s">
        <v>281</v>
      </c>
      <c r="E294" t="s">
        <v>253</v>
      </c>
      <c r="F294">
        <v>2007</v>
      </c>
      <c r="G294">
        <v>1</v>
      </c>
      <c r="H294">
        <v>0</v>
      </c>
      <c r="L294">
        <v>5</v>
      </c>
      <c r="M294">
        <v>0</v>
      </c>
    </row>
    <row r="295" spans="1:13" ht="15.75" customHeight="1" x14ac:dyDescent="0.2">
      <c r="A295">
        <f t="shared" si="9"/>
        <v>1</v>
      </c>
      <c r="B295" t="s">
        <v>10</v>
      </c>
      <c r="C295" t="s">
        <v>158</v>
      </c>
      <c r="D295" t="s">
        <v>281</v>
      </c>
      <c r="E295" t="s">
        <v>253</v>
      </c>
      <c r="F295">
        <v>2007</v>
      </c>
      <c r="G295">
        <v>1</v>
      </c>
      <c r="H295">
        <v>0</v>
      </c>
      <c r="L295">
        <v>4</v>
      </c>
      <c r="M295">
        <v>0</v>
      </c>
    </row>
    <row r="296" spans="1:13" ht="15.75" customHeight="1" x14ac:dyDescent="0.2">
      <c r="A296">
        <f t="shared" si="9"/>
        <v>1</v>
      </c>
      <c r="B296" t="s">
        <v>10</v>
      </c>
      <c r="C296" t="s">
        <v>158</v>
      </c>
      <c r="D296" t="s">
        <v>151</v>
      </c>
      <c r="E296">
        <v>4</v>
      </c>
      <c r="F296">
        <v>2011</v>
      </c>
      <c r="G296">
        <v>1</v>
      </c>
      <c r="H296">
        <v>0</v>
      </c>
      <c r="I296" t="str">
        <f>IF(H296=1,B296,"")</f>
        <v/>
      </c>
      <c r="J296" t="s">
        <v>191</v>
      </c>
      <c r="K296">
        <v>2011</v>
      </c>
      <c r="L296">
        <v>3</v>
      </c>
      <c r="M296">
        <v>0</v>
      </c>
    </row>
    <row r="297" spans="1:13" ht="15.75" customHeight="1" x14ac:dyDescent="0.2">
      <c r="A297">
        <f t="shared" si="9"/>
        <v>1</v>
      </c>
      <c r="B297" t="s">
        <v>10</v>
      </c>
      <c r="C297" t="s">
        <v>158</v>
      </c>
      <c r="D297" t="s">
        <v>151</v>
      </c>
      <c r="E297">
        <v>4</v>
      </c>
      <c r="F297">
        <v>2011</v>
      </c>
      <c r="G297">
        <v>1</v>
      </c>
      <c r="H297">
        <v>0</v>
      </c>
      <c r="I297" t="str">
        <f>IF(H297=1,B297,"")</f>
        <v/>
      </c>
      <c r="J297" t="s">
        <v>192</v>
      </c>
      <c r="K297">
        <v>2011</v>
      </c>
      <c r="L297">
        <v>2</v>
      </c>
      <c r="M297">
        <v>0</v>
      </c>
    </row>
    <row r="298" spans="1:13" ht="15.75" customHeight="1" x14ac:dyDescent="0.2">
      <c r="A298">
        <f t="shared" si="9"/>
        <v>0</v>
      </c>
      <c r="B298" t="s">
        <v>10</v>
      </c>
      <c r="C298" t="s">
        <v>158</v>
      </c>
      <c r="D298" t="s">
        <v>281</v>
      </c>
      <c r="E298" t="s">
        <v>253</v>
      </c>
      <c r="F298">
        <v>2012</v>
      </c>
      <c r="G298">
        <v>1</v>
      </c>
      <c r="H298">
        <v>0</v>
      </c>
      <c r="L298">
        <v>1</v>
      </c>
      <c r="M298">
        <v>0</v>
      </c>
    </row>
    <row r="299" spans="1:13" ht="15.75" customHeight="1" x14ac:dyDescent="0.2">
      <c r="A299">
        <f t="shared" si="9"/>
        <v>1</v>
      </c>
      <c r="B299" t="s">
        <v>79</v>
      </c>
      <c r="C299" t="s">
        <v>468</v>
      </c>
      <c r="D299" t="s">
        <v>151</v>
      </c>
      <c r="E299">
        <v>2</v>
      </c>
      <c r="F299">
        <v>2000</v>
      </c>
      <c r="G299">
        <v>1</v>
      </c>
      <c r="H299">
        <v>1</v>
      </c>
      <c r="I299" t="str">
        <f>IF(H299=1,B299,"")</f>
        <v>Iraq</v>
      </c>
      <c r="K299">
        <v>2000</v>
      </c>
      <c r="L299">
        <v>5</v>
      </c>
      <c r="M299">
        <v>1</v>
      </c>
    </row>
    <row r="300" spans="1:13" ht="15.75" customHeight="1" x14ac:dyDescent="0.2">
      <c r="A300">
        <f t="shared" si="9"/>
        <v>1</v>
      </c>
      <c r="B300" t="s">
        <v>79</v>
      </c>
      <c r="C300" t="s">
        <v>468</v>
      </c>
      <c r="D300" t="s">
        <v>244</v>
      </c>
      <c r="E300" t="s">
        <v>218</v>
      </c>
      <c r="F300">
        <v>2006</v>
      </c>
      <c r="G300">
        <v>1</v>
      </c>
      <c r="H300">
        <v>1</v>
      </c>
      <c r="I300" t="str">
        <f>IF(H300=1,B300,"")</f>
        <v>Iraq</v>
      </c>
      <c r="L300">
        <v>4</v>
      </c>
      <c r="M300">
        <v>0</v>
      </c>
    </row>
    <row r="301" spans="1:13" ht="15.75" customHeight="1" x14ac:dyDescent="0.2">
      <c r="A301">
        <f t="shared" si="9"/>
        <v>1</v>
      </c>
      <c r="B301" t="s">
        <v>79</v>
      </c>
      <c r="C301" t="s">
        <v>468</v>
      </c>
      <c r="D301" t="s">
        <v>151</v>
      </c>
      <c r="E301">
        <v>3</v>
      </c>
      <c r="F301">
        <v>2006</v>
      </c>
      <c r="G301">
        <v>1</v>
      </c>
      <c r="H301">
        <v>0</v>
      </c>
      <c r="I301" t="str">
        <f>IF(H301=1,B301,"")</f>
        <v/>
      </c>
      <c r="K301">
        <v>2006</v>
      </c>
      <c r="L301">
        <v>3</v>
      </c>
      <c r="M301">
        <v>0</v>
      </c>
    </row>
    <row r="302" spans="1:13" ht="15.75" customHeight="1" x14ac:dyDescent="0.2">
      <c r="A302">
        <f t="shared" si="9"/>
        <v>1</v>
      </c>
      <c r="B302" t="s">
        <v>79</v>
      </c>
      <c r="C302" t="s">
        <v>468</v>
      </c>
      <c r="D302" t="s">
        <v>151</v>
      </c>
      <c r="E302">
        <v>4</v>
      </c>
      <c r="F302">
        <v>2011</v>
      </c>
      <c r="G302">
        <v>1</v>
      </c>
      <c r="H302">
        <v>0</v>
      </c>
      <c r="I302" t="str">
        <f>IF(H302=1,B302,"")</f>
        <v/>
      </c>
      <c r="K302">
        <v>2011</v>
      </c>
      <c r="L302">
        <v>2</v>
      </c>
      <c r="M302">
        <v>0</v>
      </c>
    </row>
    <row r="303" spans="1:13" ht="15.75" customHeight="1" x14ac:dyDescent="0.2">
      <c r="A303">
        <f t="shared" si="9"/>
        <v>0</v>
      </c>
      <c r="B303" s="97" t="s">
        <v>79</v>
      </c>
      <c r="C303" s="97" t="s">
        <v>74</v>
      </c>
      <c r="D303" s="97" t="s">
        <v>244</v>
      </c>
      <c r="E303" s="97" t="s">
        <v>488</v>
      </c>
      <c r="F303" s="100">
        <v>2012</v>
      </c>
      <c r="G303" s="97">
        <v>1</v>
      </c>
      <c r="H303" s="97">
        <v>0</v>
      </c>
      <c r="I303" s="97"/>
      <c r="J303" s="97"/>
      <c r="K303" s="97"/>
      <c r="L303" s="97">
        <v>1</v>
      </c>
      <c r="M303">
        <v>0</v>
      </c>
    </row>
    <row r="304" spans="1:13" ht="15.75" customHeight="1" x14ac:dyDescent="0.2">
      <c r="A304">
        <f t="shared" si="9"/>
        <v>1</v>
      </c>
      <c r="B304" t="s">
        <v>63</v>
      </c>
      <c r="C304" t="s">
        <v>469</v>
      </c>
      <c r="D304" t="s">
        <v>244</v>
      </c>
      <c r="E304" t="s">
        <v>207</v>
      </c>
      <c r="F304">
        <v>1988</v>
      </c>
      <c r="G304">
        <v>1</v>
      </c>
      <c r="H304">
        <v>1</v>
      </c>
      <c r="I304" t="str">
        <f>IF(H304=1,B304,"")</f>
        <v>Jamaica</v>
      </c>
      <c r="L304">
        <v>25</v>
      </c>
      <c r="M304">
        <v>1</v>
      </c>
    </row>
    <row r="305" spans="1:13" ht="15.75" customHeight="1" x14ac:dyDescent="0.2">
      <c r="A305">
        <f t="shared" si="9"/>
        <v>1</v>
      </c>
      <c r="B305" t="s">
        <v>63</v>
      </c>
      <c r="C305" t="s">
        <v>469</v>
      </c>
      <c r="D305" t="s">
        <v>244</v>
      </c>
      <c r="E305" t="s">
        <v>207</v>
      </c>
      <c r="F305">
        <v>1989</v>
      </c>
      <c r="G305">
        <v>1</v>
      </c>
      <c r="H305">
        <v>0</v>
      </c>
      <c r="L305">
        <v>24</v>
      </c>
      <c r="M305">
        <v>0</v>
      </c>
    </row>
    <row r="306" spans="1:13" ht="15.75" customHeight="1" x14ac:dyDescent="0.2">
      <c r="A306">
        <f t="shared" si="9"/>
        <v>1</v>
      </c>
      <c r="B306" t="s">
        <v>63</v>
      </c>
      <c r="C306" t="s">
        <v>469</v>
      </c>
      <c r="D306" t="s">
        <v>244</v>
      </c>
      <c r="E306" t="s">
        <v>207</v>
      </c>
      <c r="F306">
        <v>1989</v>
      </c>
      <c r="G306">
        <v>1</v>
      </c>
      <c r="H306">
        <v>0</v>
      </c>
      <c r="L306">
        <v>23</v>
      </c>
      <c r="M306">
        <v>0</v>
      </c>
    </row>
    <row r="307" spans="1:13" ht="15.75" customHeight="1" x14ac:dyDescent="0.2">
      <c r="A307">
        <f t="shared" si="9"/>
        <v>1</v>
      </c>
      <c r="B307" t="s">
        <v>63</v>
      </c>
      <c r="C307" t="s">
        <v>469</v>
      </c>
      <c r="D307" t="s">
        <v>244</v>
      </c>
      <c r="E307" t="s">
        <v>207</v>
      </c>
      <c r="F307">
        <v>1990</v>
      </c>
      <c r="G307">
        <v>1</v>
      </c>
      <c r="H307">
        <v>0</v>
      </c>
      <c r="L307">
        <v>22</v>
      </c>
      <c r="M307">
        <v>0</v>
      </c>
    </row>
    <row r="308" spans="1:13" ht="15.75" customHeight="1" x14ac:dyDescent="0.2">
      <c r="A308">
        <f t="shared" si="9"/>
        <v>1</v>
      </c>
      <c r="B308" t="s">
        <v>63</v>
      </c>
      <c r="C308" t="s">
        <v>469</v>
      </c>
      <c r="D308" t="s">
        <v>244</v>
      </c>
      <c r="E308" t="s">
        <v>207</v>
      </c>
      <c r="F308">
        <v>1991</v>
      </c>
      <c r="G308">
        <v>1</v>
      </c>
      <c r="H308">
        <v>0</v>
      </c>
      <c r="L308">
        <v>21</v>
      </c>
      <c r="M308">
        <v>0</v>
      </c>
    </row>
    <row r="309" spans="1:13" ht="15.75" customHeight="1" x14ac:dyDescent="0.2">
      <c r="A309">
        <f t="shared" si="9"/>
        <v>1</v>
      </c>
      <c r="B309" t="s">
        <v>63</v>
      </c>
      <c r="C309" t="s">
        <v>469</v>
      </c>
      <c r="D309" t="s">
        <v>244</v>
      </c>
      <c r="E309" t="s">
        <v>207</v>
      </c>
      <c r="F309">
        <v>1992</v>
      </c>
      <c r="G309">
        <v>1</v>
      </c>
      <c r="H309">
        <v>0</v>
      </c>
      <c r="L309">
        <v>20</v>
      </c>
      <c r="M309">
        <v>0</v>
      </c>
    </row>
    <row r="310" spans="1:13" ht="15.75" customHeight="1" x14ac:dyDescent="0.2">
      <c r="A310">
        <f t="shared" si="9"/>
        <v>1</v>
      </c>
      <c r="B310" t="s">
        <v>63</v>
      </c>
      <c r="C310" t="s">
        <v>469</v>
      </c>
      <c r="D310" t="s">
        <v>244</v>
      </c>
      <c r="E310" t="s">
        <v>207</v>
      </c>
      <c r="F310">
        <v>1993</v>
      </c>
      <c r="G310">
        <v>1</v>
      </c>
      <c r="H310">
        <v>0</v>
      </c>
      <c r="L310">
        <v>19</v>
      </c>
      <c r="M310">
        <v>0</v>
      </c>
    </row>
    <row r="311" spans="1:13" ht="15.75" customHeight="1" x14ac:dyDescent="0.2">
      <c r="A311">
        <f t="shared" si="9"/>
        <v>1</v>
      </c>
      <c r="B311" t="s">
        <v>63</v>
      </c>
      <c r="C311" t="s">
        <v>469</v>
      </c>
      <c r="D311" t="s">
        <v>244</v>
      </c>
      <c r="E311" t="s">
        <v>207</v>
      </c>
      <c r="F311">
        <v>1994</v>
      </c>
      <c r="G311">
        <v>1</v>
      </c>
      <c r="H311">
        <v>0</v>
      </c>
      <c r="L311">
        <v>18</v>
      </c>
      <c r="M311">
        <v>0</v>
      </c>
    </row>
    <row r="312" spans="1:13" ht="15.75" customHeight="1" x14ac:dyDescent="0.2">
      <c r="A312">
        <f t="shared" si="9"/>
        <v>1</v>
      </c>
      <c r="B312" t="s">
        <v>63</v>
      </c>
      <c r="C312" t="s">
        <v>469</v>
      </c>
      <c r="D312" t="s">
        <v>244</v>
      </c>
      <c r="E312" t="s">
        <v>207</v>
      </c>
      <c r="F312">
        <v>1995</v>
      </c>
      <c r="G312">
        <v>1</v>
      </c>
      <c r="H312">
        <v>0</v>
      </c>
      <c r="L312">
        <v>17</v>
      </c>
      <c r="M312">
        <v>0</v>
      </c>
    </row>
    <row r="313" spans="1:13" ht="15.75" customHeight="1" x14ac:dyDescent="0.2">
      <c r="A313">
        <f t="shared" si="9"/>
        <v>1</v>
      </c>
      <c r="B313" t="s">
        <v>63</v>
      </c>
      <c r="C313" t="s">
        <v>469</v>
      </c>
      <c r="D313" t="s">
        <v>244</v>
      </c>
      <c r="E313" t="s">
        <v>207</v>
      </c>
      <c r="F313">
        <v>1996</v>
      </c>
      <c r="G313">
        <v>1</v>
      </c>
      <c r="H313">
        <v>0</v>
      </c>
      <c r="L313">
        <v>16</v>
      </c>
      <c r="M313">
        <v>0</v>
      </c>
    </row>
    <row r="314" spans="1:13" ht="15.75" customHeight="1" x14ac:dyDescent="0.2">
      <c r="A314">
        <f t="shared" si="9"/>
        <v>1</v>
      </c>
      <c r="B314" t="s">
        <v>63</v>
      </c>
      <c r="C314" t="s">
        <v>469</v>
      </c>
      <c r="D314" t="s">
        <v>244</v>
      </c>
      <c r="E314" t="s">
        <v>207</v>
      </c>
      <c r="F314">
        <v>1997</v>
      </c>
      <c r="G314">
        <v>1</v>
      </c>
      <c r="H314">
        <v>0</v>
      </c>
      <c r="L314">
        <v>15</v>
      </c>
      <c r="M314">
        <v>0</v>
      </c>
    </row>
    <row r="315" spans="1:13" x14ac:dyDescent="0.2">
      <c r="A315">
        <f t="shared" si="9"/>
        <v>1</v>
      </c>
      <c r="B315" t="s">
        <v>63</v>
      </c>
      <c r="C315" t="s">
        <v>469</v>
      </c>
      <c r="D315" t="s">
        <v>244</v>
      </c>
      <c r="E315" t="s">
        <v>207</v>
      </c>
      <c r="F315">
        <v>1998</v>
      </c>
      <c r="G315">
        <v>1</v>
      </c>
      <c r="H315">
        <v>0</v>
      </c>
      <c r="L315">
        <v>14</v>
      </c>
      <c r="M315">
        <v>0</v>
      </c>
    </row>
    <row r="316" spans="1:13" ht="15.75" customHeight="1" x14ac:dyDescent="0.2">
      <c r="A316">
        <f t="shared" si="9"/>
        <v>1</v>
      </c>
      <c r="B316" t="s">
        <v>63</v>
      </c>
      <c r="C316" t="s">
        <v>469</v>
      </c>
      <c r="D316" t="s">
        <v>244</v>
      </c>
      <c r="E316" t="s">
        <v>207</v>
      </c>
      <c r="F316">
        <v>1999</v>
      </c>
      <c r="G316">
        <v>1</v>
      </c>
      <c r="H316">
        <v>0</v>
      </c>
      <c r="L316">
        <v>13</v>
      </c>
      <c r="M316">
        <v>0</v>
      </c>
    </row>
    <row r="317" spans="1:13" ht="15.75" customHeight="1" x14ac:dyDescent="0.2">
      <c r="A317">
        <f t="shared" si="9"/>
        <v>1</v>
      </c>
      <c r="B317" t="s">
        <v>63</v>
      </c>
      <c r="C317" t="s">
        <v>469</v>
      </c>
      <c r="D317" t="s">
        <v>244</v>
      </c>
      <c r="E317" t="s">
        <v>207</v>
      </c>
      <c r="F317">
        <v>2000</v>
      </c>
      <c r="G317">
        <v>1</v>
      </c>
      <c r="H317">
        <v>0</v>
      </c>
      <c r="L317">
        <v>12</v>
      </c>
      <c r="M317">
        <v>0</v>
      </c>
    </row>
    <row r="318" spans="1:13" ht="15.75" customHeight="1" x14ac:dyDescent="0.2">
      <c r="A318">
        <f t="shared" si="9"/>
        <v>1</v>
      </c>
      <c r="B318" t="s">
        <v>63</v>
      </c>
      <c r="C318" t="s">
        <v>469</v>
      </c>
      <c r="D318" t="s">
        <v>151</v>
      </c>
      <c r="E318">
        <v>2</v>
      </c>
      <c r="F318">
        <v>2000</v>
      </c>
      <c r="G318">
        <v>1</v>
      </c>
      <c r="H318">
        <v>1</v>
      </c>
      <c r="I318" t="str">
        <f>IF(H318=1,B318,"")</f>
        <v>Jamaica</v>
      </c>
      <c r="K318">
        <v>2000</v>
      </c>
      <c r="L318">
        <v>11</v>
      </c>
      <c r="M318">
        <v>0</v>
      </c>
    </row>
    <row r="319" spans="1:13" ht="15.75" customHeight="1" x14ac:dyDescent="0.2">
      <c r="A319">
        <f t="shared" si="9"/>
        <v>1</v>
      </c>
      <c r="B319" t="s">
        <v>63</v>
      </c>
      <c r="C319" t="s">
        <v>469</v>
      </c>
      <c r="D319" t="s">
        <v>244</v>
      </c>
      <c r="E319" t="s">
        <v>207</v>
      </c>
      <c r="F319">
        <v>2001</v>
      </c>
      <c r="G319">
        <v>1</v>
      </c>
      <c r="H319">
        <v>0</v>
      </c>
      <c r="K319">
        <v>2001</v>
      </c>
      <c r="L319">
        <v>10</v>
      </c>
      <c r="M319">
        <v>0</v>
      </c>
    </row>
    <row r="320" spans="1:13" ht="15.75" customHeight="1" x14ac:dyDescent="0.2">
      <c r="A320">
        <f t="shared" si="9"/>
        <v>1</v>
      </c>
      <c r="B320" t="s">
        <v>63</v>
      </c>
      <c r="C320" t="s">
        <v>469</v>
      </c>
      <c r="D320" t="s">
        <v>244</v>
      </c>
      <c r="E320" t="s">
        <v>207</v>
      </c>
      <c r="F320">
        <v>2002</v>
      </c>
      <c r="G320">
        <v>1</v>
      </c>
      <c r="H320">
        <v>0</v>
      </c>
      <c r="K320">
        <v>2002</v>
      </c>
      <c r="L320">
        <v>9</v>
      </c>
      <c r="M320">
        <v>0</v>
      </c>
    </row>
    <row r="321" spans="1:13" ht="15.75" customHeight="1" x14ac:dyDescent="0.2">
      <c r="A321">
        <f t="shared" si="9"/>
        <v>1</v>
      </c>
      <c r="B321" t="s">
        <v>63</v>
      </c>
      <c r="C321" t="s">
        <v>469</v>
      </c>
      <c r="D321" t="s">
        <v>244</v>
      </c>
      <c r="E321" t="s">
        <v>207</v>
      </c>
      <c r="F321">
        <v>2003</v>
      </c>
      <c r="G321">
        <v>1</v>
      </c>
      <c r="H321">
        <v>0</v>
      </c>
      <c r="K321">
        <v>2003</v>
      </c>
      <c r="L321">
        <v>8</v>
      </c>
      <c r="M321">
        <v>0</v>
      </c>
    </row>
    <row r="322" spans="1:13" ht="15.75" customHeight="1" x14ac:dyDescent="0.2">
      <c r="A322">
        <f t="shared" si="9"/>
        <v>1</v>
      </c>
      <c r="B322" t="s">
        <v>63</v>
      </c>
      <c r="C322" t="s">
        <v>469</v>
      </c>
      <c r="D322" t="s">
        <v>244</v>
      </c>
      <c r="E322" t="s">
        <v>207</v>
      </c>
      <c r="F322">
        <v>2004</v>
      </c>
      <c r="G322">
        <v>1</v>
      </c>
      <c r="H322">
        <v>0</v>
      </c>
      <c r="K322">
        <v>2004</v>
      </c>
      <c r="L322">
        <v>7</v>
      </c>
      <c r="M322">
        <v>0</v>
      </c>
    </row>
    <row r="323" spans="1:13" ht="15.75" customHeight="1" x14ac:dyDescent="0.2">
      <c r="A323">
        <f t="shared" si="9"/>
        <v>1</v>
      </c>
      <c r="B323" t="s">
        <v>63</v>
      </c>
      <c r="C323" t="s">
        <v>469</v>
      </c>
      <c r="D323" t="s">
        <v>151</v>
      </c>
      <c r="E323">
        <v>3</v>
      </c>
      <c r="F323">
        <v>2005</v>
      </c>
      <c r="G323">
        <v>1</v>
      </c>
      <c r="H323">
        <v>0</v>
      </c>
      <c r="I323" t="str">
        <f>IF(H323=1,B323,"")</f>
        <v/>
      </c>
      <c r="K323">
        <v>2005</v>
      </c>
      <c r="L323">
        <v>6</v>
      </c>
      <c r="M323">
        <v>0</v>
      </c>
    </row>
    <row r="324" spans="1:13" ht="15.75" customHeight="1" x14ac:dyDescent="0.2">
      <c r="A324">
        <f t="shared" si="9"/>
        <v>1</v>
      </c>
      <c r="B324" t="s">
        <v>63</v>
      </c>
      <c r="C324" t="s">
        <v>469</v>
      </c>
      <c r="D324" t="s">
        <v>244</v>
      </c>
      <c r="E324" t="s">
        <v>207</v>
      </c>
      <c r="F324">
        <v>2006</v>
      </c>
      <c r="G324">
        <v>1</v>
      </c>
      <c r="H324">
        <v>0</v>
      </c>
      <c r="K324">
        <v>2006</v>
      </c>
      <c r="L324">
        <v>5</v>
      </c>
      <c r="M324">
        <v>0</v>
      </c>
    </row>
    <row r="325" spans="1:13" ht="15.75" customHeight="1" x14ac:dyDescent="0.2">
      <c r="A325">
        <f t="shared" si="9"/>
        <v>1</v>
      </c>
      <c r="B325" t="s">
        <v>63</v>
      </c>
      <c r="C325" t="s">
        <v>469</v>
      </c>
      <c r="D325" t="s">
        <v>244</v>
      </c>
      <c r="E325" t="s">
        <v>207</v>
      </c>
      <c r="F325">
        <v>2007</v>
      </c>
      <c r="G325">
        <v>1</v>
      </c>
      <c r="H325">
        <v>0</v>
      </c>
      <c r="K325">
        <v>2007</v>
      </c>
      <c r="L325">
        <v>4</v>
      </c>
      <c r="M325">
        <v>0</v>
      </c>
    </row>
    <row r="326" spans="1:13" ht="15.75" customHeight="1" x14ac:dyDescent="0.2">
      <c r="A326">
        <f t="shared" si="9"/>
        <v>1</v>
      </c>
      <c r="B326" t="s">
        <v>63</v>
      </c>
      <c r="C326" t="s">
        <v>469</v>
      </c>
      <c r="D326" t="s">
        <v>244</v>
      </c>
      <c r="E326" t="s">
        <v>207</v>
      </c>
      <c r="F326">
        <v>2008</v>
      </c>
      <c r="G326">
        <v>1</v>
      </c>
      <c r="H326">
        <v>0</v>
      </c>
      <c r="K326">
        <v>2008</v>
      </c>
      <c r="L326">
        <v>3</v>
      </c>
      <c r="M326">
        <v>0</v>
      </c>
    </row>
    <row r="327" spans="1:13" ht="15.75" customHeight="1" x14ac:dyDescent="0.2">
      <c r="A327">
        <f t="shared" si="9"/>
        <v>1</v>
      </c>
      <c r="B327" t="s">
        <v>63</v>
      </c>
      <c r="C327" t="s">
        <v>469</v>
      </c>
      <c r="D327" t="s">
        <v>244</v>
      </c>
      <c r="E327" t="s">
        <v>207</v>
      </c>
      <c r="F327">
        <v>2009</v>
      </c>
      <c r="G327">
        <v>1</v>
      </c>
      <c r="H327">
        <v>0</v>
      </c>
      <c r="K327">
        <v>2009</v>
      </c>
      <c r="L327">
        <v>2</v>
      </c>
      <c r="M327">
        <v>0</v>
      </c>
    </row>
    <row r="328" spans="1:13" ht="15.75" customHeight="1" x14ac:dyDescent="0.2">
      <c r="A328">
        <f t="shared" si="9"/>
        <v>0</v>
      </c>
      <c r="B328" t="s">
        <v>63</v>
      </c>
      <c r="C328" t="s">
        <v>469</v>
      </c>
      <c r="D328" t="s">
        <v>151</v>
      </c>
      <c r="E328">
        <v>4</v>
      </c>
      <c r="F328">
        <v>2011</v>
      </c>
      <c r="G328">
        <v>1</v>
      </c>
      <c r="H328">
        <v>0</v>
      </c>
      <c r="L328">
        <v>1</v>
      </c>
      <c r="M328">
        <v>0</v>
      </c>
    </row>
    <row r="329" spans="1:13" ht="15.75" customHeight="1" x14ac:dyDescent="0.2">
      <c r="A329">
        <f t="shared" ref="A329:A392" si="11">IF(B329=B330,1,0)</f>
        <v>1</v>
      </c>
      <c r="B329" t="s">
        <v>80</v>
      </c>
      <c r="C329" t="s">
        <v>468</v>
      </c>
      <c r="D329" t="s">
        <v>281</v>
      </c>
      <c r="E329" t="s">
        <v>272</v>
      </c>
      <c r="F329">
        <v>1990</v>
      </c>
      <c r="G329">
        <v>1</v>
      </c>
      <c r="H329">
        <v>1</v>
      </c>
      <c r="I329" t="str">
        <f>IF(H329=1,B329,"")</f>
        <v>Jordan</v>
      </c>
      <c r="L329">
        <v>6</v>
      </c>
      <c r="M329">
        <v>1</v>
      </c>
    </row>
    <row r="330" spans="1:13" ht="15.75" customHeight="1" x14ac:dyDescent="0.2">
      <c r="A330">
        <f t="shared" si="11"/>
        <v>1</v>
      </c>
      <c r="B330" t="s">
        <v>80</v>
      </c>
      <c r="C330" t="s">
        <v>468</v>
      </c>
      <c r="D330" t="s">
        <v>281</v>
      </c>
      <c r="E330" t="s">
        <v>253</v>
      </c>
      <c r="F330">
        <v>1997</v>
      </c>
      <c r="G330">
        <v>1</v>
      </c>
      <c r="H330">
        <v>0</v>
      </c>
      <c r="L330">
        <v>5</v>
      </c>
      <c r="M330">
        <v>0</v>
      </c>
    </row>
    <row r="331" spans="1:13" ht="15.75" customHeight="1" x14ac:dyDescent="0.2">
      <c r="A331">
        <f t="shared" si="11"/>
        <v>1</v>
      </c>
      <c r="B331" t="s">
        <v>80</v>
      </c>
      <c r="C331" t="s">
        <v>468</v>
      </c>
      <c r="D331" t="s">
        <v>281</v>
      </c>
      <c r="E331" t="s">
        <v>253</v>
      </c>
      <c r="F331">
        <v>2002</v>
      </c>
      <c r="G331">
        <v>1</v>
      </c>
      <c r="H331">
        <v>0</v>
      </c>
      <c r="L331">
        <v>4</v>
      </c>
      <c r="M331">
        <v>0</v>
      </c>
    </row>
    <row r="332" spans="1:13" ht="15.75" customHeight="1" x14ac:dyDescent="0.2">
      <c r="A332">
        <f t="shared" si="11"/>
        <v>1</v>
      </c>
      <c r="B332" t="s">
        <v>80</v>
      </c>
      <c r="C332" t="s">
        <v>468</v>
      </c>
      <c r="D332" t="s">
        <v>281</v>
      </c>
      <c r="E332" t="s">
        <v>253</v>
      </c>
      <c r="F332">
        <v>2007</v>
      </c>
      <c r="G332">
        <v>1</v>
      </c>
      <c r="H332">
        <v>0</v>
      </c>
      <c r="L332">
        <v>3</v>
      </c>
      <c r="M332">
        <v>0</v>
      </c>
    </row>
    <row r="333" spans="1:13" ht="15.75" customHeight="1" x14ac:dyDescent="0.2">
      <c r="A333">
        <f t="shared" si="11"/>
        <v>1</v>
      </c>
      <c r="B333" t="s">
        <v>80</v>
      </c>
      <c r="C333" t="s">
        <v>468</v>
      </c>
      <c r="D333" t="s">
        <v>281</v>
      </c>
      <c r="E333" t="s">
        <v>253</v>
      </c>
      <c r="F333">
        <v>2009</v>
      </c>
      <c r="G333">
        <v>1</v>
      </c>
      <c r="H333">
        <v>0</v>
      </c>
      <c r="L333">
        <v>2</v>
      </c>
      <c r="M333">
        <v>0</v>
      </c>
    </row>
    <row r="334" spans="1:13" ht="15.75" customHeight="1" x14ac:dyDescent="0.2">
      <c r="A334">
        <f t="shared" si="11"/>
        <v>0</v>
      </c>
      <c r="B334" s="105" t="s">
        <v>80</v>
      </c>
      <c r="C334" s="105" t="s">
        <v>468</v>
      </c>
      <c r="D334" s="105" t="s">
        <v>281</v>
      </c>
      <c r="E334" s="105" t="s">
        <v>253</v>
      </c>
      <c r="F334" s="105">
        <v>2012</v>
      </c>
      <c r="G334" s="105">
        <v>1</v>
      </c>
      <c r="H334" s="105">
        <v>0</v>
      </c>
      <c r="I334" s="105"/>
      <c r="J334" s="105"/>
      <c r="K334" s="105"/>
      <c r="L334" s="105">
        <v>1</v>
      </c>
      <c r="M334" s="105">
        <v>0</v>
      </c>
    </row>
    <row r="335" spans="1:13" ht="15.75" customHeight="1" x14ac:dyDescent="0.2">
      <c r="A335">
        <f t="shared" si="11"/>
        <v>1</v>
      </c>
      <c r="B335" t="s">
        <v>31</v>
      </c>
      <c r="C335" t="s">
        <v>19</v>
      </c>
      <c r="D335" t="s">
        <v>281</v>
      </c>
      <c r="E335" t="s">
        <v>276</v>
      </c>
      <c r="F335">
        <v>1995</v>
      </c>
      <c r="G335">
        <v>1</v>
      </c>
      <c r="H335">
        <v>1</v>
      </c>
      <c r="I335" t="str">
        <f>IF(H335=1,B335,"")</f>
        <v>Kazakhstan</v>
      </c>
      <c r="L335">
        <v>5</v>
      </c>
      <c r="M335">
        <v>1</v>
      </c>
    </row>
    <row r="336" spans="1:13" ht="15.75" customHeight="1" x14ac:dyDescent="0.2">
      <c r="A336">
        <f t="shared" si="11"/>
        <v>1</v>
      </c>
      <c r="B336" t="s">
        <v>31</v>
      </c>
      <c r="C336" t="s">
        <v>19</v>
      </c>
      <c r="D336" t="s">
        <v>244</v>
      </c>
      <c r="E336" t="s">
        <v>203</v>
      </c>
      <c r="F336">
        <v>1996</v>
      </c>
      <c r="G336">
        <v>1</v>
      </c>
      <c r="H336">
        <v>1</v>
      </c>
      <c r="I336" t="str">
        <f>IF(H336=1,B336,"")</f>
        <v>Kazakhstan</v>
      </c>
      <c r="L336">
        <v>4</v>
      </c>
      <c r="M336">
        <v>0</v>
      </c>
    </row>
    <row r="337" spans="1:16" ht="15.75" customHeight="1" x14ac:dyDescent="0.2">
      <c r="A337">
        <f t="shared" si="11"/>
        <v>1</v>
      </c>
      <c r="B337" t="s">
        <v>31</v>
      </c>
      <c r="C337" t="s">
        <v>19</v>
      </c>
      <c r="D337" t="s">
        <v>281</v>
      </c>
      <c r="E337" t="s">
        <v>253</v>
      </c>
      <c r="F337">
        <v>1999</v>
      </c>
      <c r="G337">
        <v>1</v>
      </c>
      <c r="H337">
        <v>0</v>
      </c>
      <c r="L337">
        <v>3</v>
      </c>
      <c r="M337">
        <v>0</v>
      </c>
    </row>
    <row r="338" spans="1:16" ht="15.75" customHeight="1" x14ac:dyDescent="0.2">
      <c r="A338">
        <f t="shared" si="11"/>
        <v>1</v>
      </c>
      <c r="B338" t="s">
        <v>31</v>
      </c>
      <c r="C338" t="s">
        <v>19</v>
      </c>
      <c r="D338" t="s">
        <v>151</v>
      </c>
      <c r="E338">
        <v>3</v>
      </c>
      <c r="F338">
        <v>2006</v>
      </c>
      <c r="G338">
        <v>1</v>
      </c>
      <c r="H338">
        <v>1</v>
      </c>
      <c r="I338" t="str">
        <f>IF(H338=1,B338,"")</f>
        <v>Kazakhstan</v>
      </c>
      <c r="K338">
        <v>2006</v>
      </c>
      <c r="L338">
        <v>2</v>
      </c>
      <c r="M338">
        <v>0</v>
      </c>
    </row>
    <row r="339" spans="1:16" ht="15.75" customHeight="1" x14ac:dyDescent="0.2">
      <c r="A339">
        <f t="shared" si="11"/>
        <v>0</v>
      </c>
      <c r="B339" t="s">
        <v>31</v>
      </c>
      <c r="C339" t="s">
        <v>19</v>
      </c>
      <c r="D339" t="s">
        <v>151</v>
      </c>
      <c r="E339">
        <v>4</v>
      </c>
      <c r="F339">
        <v>2011</v>
      </c>
      <c r="G339">
        <v>1</v>
      </c>
      <c r="H339">
        <v>0</v>
      </c>
      <c r="I339" t="str">
        <f>IF(H339=1,B339,"")</f>
        <v/>
      </c>
      <c r="K339">
        <v>2010</v>
      </c>
      <c r="L339">
        <v>1</v>
      </c>
      <c r="M339">
        <v>0</v>
      </c>
    </row>
    <row r="340" spans="1:16" ht="15.75" customHeight="1" x14ac:dyDescent="0.2">
      <c r="A340">
        <f t="shared" si="11"/>
        <v>1</v>
      </c>
      <c r="B340" t="s">
        <v>114</v>
      </c>
      <c r="C340" t="s">
        <v>95</v>
      </c>
      <c r="D340" t="s">
        <v>281</v>
      </c>
      <c r="E340" t="s">
        <v>253</v>
      </c>
      <c r="F340">
        <v>1989</v>
      </c>
      <c r="G340">
        <v>1</v>
      </c>
      <c r="H340">
        <v>1</v>
      </c>
      <c r="I340" t="str">
        <f>IF(H340=1,B340,"")</f>
        <v>Kenya</v>
      </c>
      <c r="L340">
        <v>18</v>
      </c>
      <c r="M340">
        <v>1</v>
      </c>
    </row>
    <row r="341" spans="1:16" ht="15.75" customHeight="1" x14ac:dyDescent="0.2">
      <c r="A341">
        <f t="shared" si="11"/>
        <v>1</v>
      </c>
      <c r="B341" t="s">
        <v>114</v>
      </c>
      <c r="C341" t="s">
        <v>95</v>
      </c>
      <c r="D341" t="s">
        <v>304</v>
      </c>
      <c r="E341" t="s">
        <v>431</v>
      </c>
      <c r="F341">
        <v>1992</v>
      </c>
      <c r="G341">
        <v>1</v>
      </c>
      <c r="H341">
        <v>1</v>
      </c>
      <c r="I341" t="str">
        <f>IF(H341=1,B341,"")</f>
        <v>Kenya</v>
      </c>
      <c r="L341">
        <v>17</v>
      </c>
      <c r="M341">
        <v>0</v>
      </c>
    </row>
    <row r="342" spans="1:16" ht="15.75" customHeight="1" x14ac:dyDescent="0.2">
      <c r="A342">
        <f t="shared" si="11"/>
        <v>1</v>
      </c>
      <c r="B342" t="s">
        <v>114</v>
      </c>
      <c r="C342" t="s">
        <v>95</v>
      </c>
      <c r="D342" t="s">
        <v>281</v>
      </c>
      <c r="E342" t="s">
        <v>253</v>
      </c>
      <c r="F342">
        <v>1993</v>
      </c>
      <c r="G342">
        <v>1</v>
      </c>
      <c r="H342">
        <v>0</v>
      </c>
      <c r="L342" s="43">
        <v>16</v>
      </c>
      <c r="M342">
        <v>0</v>
      </c>
    </row>
    <row r="343" spans="1:16" ht="15.75" customHeight="1" x14ac:dyDescent="0.2">
      <c r="A343">
        <f t="shared" si="11"/>
        <v>1</v>
      </c>
      <c r="B343" t="s">
        <v>114</v>
      </c>
      <c r="C343" t="s">
        <v>95</v>
      </c>
      <c r="D343" t="s">
        <v>304</v>
      </c>
      <c r="E343" t="s">
        <v>432</v>
      </c>
      <c r="F343">
        <v>1997</v>
      </c>
      <c r="G343">
        <v>1</v>
      </c>
      <c r="H343">
        <v>0</v>
      </c>
      <c r="L343" s="43">
        <v>15</v>
      </c>
      <c r="M343">
        <v>0</v>
      </c>
    </row>
    <row r="344" spans="1:16" ht="15.75" customHeight="1" x14ac:dyDescent="0.2">
      <c r="A344">
        <f t="shared" si="11"/>
        <v>1</v>
      </c>
      <c r="B344" t="s">
        <v>114</v>
      </c>
      <c r="C344" t="s">
        <v>95</v>
      </c>
      <c r="D344" t="s">
        <v>281</v>
      </c>
      <c r="E344" t="s">
        <v>253</v>
      </c>
      <c r="F344">
        <v>1998</v>
      </c>
      <c r="G344">
        <v>1</v>
      </c>
      <c r="H344">
        <v>0</v>
      </c>
      <c r="L344" s="43">
        <v>14</v>
      </c>
      <c r="M344">
        <v>0</v>
      </c>
    </row>
    <row r="345" spans="1:16" ht="15.75" customHeight="1" x14ac:dyDescent="0.2">
      <c r="A345">
        <f t="shared" si="11"/>
        <v>1</v>
      </c>
      <c r="B345" t="s">
        <v>114</v>
      </c>
      <c r="C345" t="s">
        <v>95</v>
      </c>
      <c r="D345" t="s">
        <v>281</v>
      </c>
      <c r="E345" t="s">
        <v>265</v>
      </c>
      <c r="F345">
        <v>1999</v>
      </c>
      <c r="G345">
        <v>1</v>
      </c>
      <c r="H345">
        <v>0</v>
      </c>
      <c r="L345" s="43">
        <v>13</v>
      </c>
      <c r="M345">
        <v>0</v>
      </c>
    </row>
    <row r="346" spans="1:16" ht="15.75" customHeight="1" x14ac:dyDescent="0.2">
      <c r="A346">
        <f t="shared" si="11"/>
        <v>1</v>
      </c>
      <c r="B346" t="s">
        <v>114</v>
      </c>
      <c r="C346" t="s">
        <v>95</v>
      </c>
      <c r="D346" t="s">
        <v>151</v>
      </c>
      <c r="E346">
        <v>2</v>
      </c>
      <c r="F346">
        <v>2000</v>
      </c>
      <c r="G346">
        <v>1</v>
      </c>
      <c r="H346">
        <v>1</v>
      </c>
      <c r="I346" t="str">
        <f>IF(H346=1,B346,"")</f>
        <v>Kenya</v>
      </c>
      <c r="K346">
        <v>2000</v>
      </c>
      <c r="L346" s="43">
        <v>12</v>
      </c>
      <c r="M346">
        <v>0</v>
      </c>
    </row>
    <row r="347" spans="1:16" s="73" customFormat="1" ht="15.75" customHeight="1" x14ac:dyDescent="0.2">
      <c r="A347">
        <f t="shared" si="11"/>
        <v>1</v>
      </c>
      <c r="B347" t="s">
        <v>114</v>
      </c>
      <c r="C347" t="s">
        <v>95</v>
      </c>
      <c r="D347" t="s">
        <v>281</v>
      </c>
      <c r="E347" t="s">
        <v>253</v>
      </c>
      <c r="F347">
        <v>2003</v>
      </c>
      <c r="G347">
        <v>1</v>
      </c>
      <c r="H347">
        <v>0</v>
      </c>
      <c r="I347"/>
      <c r="J347"/>
      <c r="K347"/>
      <c r="L347" s="43">
        <v>11</v>
      </c>
      <c r="M347">
        <v>0</v>
      </c>
      <c r="N347" s="95"/>
      <c r="O347" s="95"/>
      <c r="P347" s="95"/>
    </row>
    <row r="348" spans="1:16" s="73" customFormat="1" ht="15.75" customHeight="1" x14ac:dyDescent="0.2">
      <c r="A348">
        <f t="shared" si="11"/>
        <v>1</v>
      </c>
      <c r="B348" t="s">
        <v>114</v>
      </c>
      <c r="C348" t="s">
        <v>95</v>
      </c>
      <c r="D348" t="s">
        <v>281</v>
      </c>
      <c r="E348" t="s">
        <v>265</v>
      </c>
      <c r="F348">
        <v>2004</v>
      </c>
      <c r="G348">
        <v>1</v>
      </c>
      <c r="H348">
        <v>0</v>
      </c>
      <c r="I348"/>
      <c r="J348"/>
      <c r="K348"/>
      <c r="L348" s="43">
        <v>10</v>
      </c>
      <c r="M348">
        <v>0</v>
      </c>
      <c r="N348" s="95"/>
      <c r="O348" s="95"/>
      <c r="P348" s="95"/>
    </row>
    <row r="349" spans="1:16" ht="15.75" customHeight="1" x14ac:dyDescent="0.2">
      <c r="A349">
        <f t="shared" si="11"/>
        <v>1</v>
      </c>
      <c r="B349" t="s">
        <v>114</v>
      </c>
      <c r="C349" t="s">
        <v>95</v>
      </c>
      <c r="D349" t="s">
        <v>244</v>
      </c>
      <c r="E349" t="s">
        <v>402</v>
      </c>
      <c r="F349">
        <v>2006</v>
      </c>
      <c r="G349">
        <v>1</v>
      </c>
      <c r="H349">
        <v>1</v>
      </c>
      <c r="I349" t="str">
        <f>IF(H349=1,B349,"")</f>
        <v>Kenya</v>
      </c>
      <c r="L349" s="43">
        <v>9</v>
      </c>
      <c r="M349">
        <v>0</v>
      </c>
    </row>
    <row r="350" spans="1:16" ht="15.75" customHeight="1" x14ac:dyDescent="0.2">
      <c r="A350">
        <f t="shared" si="11"/>
        <v>1</v>
      </c>
      <c r="B350" t="s">
        <v>114</v>
      </c>
      <c r="C350" t="s">
        <v>95</v>
      </c>
      <c r="D350" t="s">
        <v>281</v>
      </c>
      <c r="E350" t="s">
        <v>253</v>
      </c>
      <c r="F350">
        <v>2008</v>
      </c>
      <c r="G350">
        <v>1</v>
      </c>
      <c r="H350">
        <v>0</v>
      </c>
      <c r="L350" s="43">
        <v>8</v>
      </c>
      <c r="M350">
        <v>0</v>
      </c>
    </row>
    <row r="351" spans="1:16" x14ac:dyDescent="0.2">
      <c r="A351">
        <f t="shared" si="11"/>
        <v>1</v>
      </c>
      <c r="B351" t="s">
        <v>114</v>
      </c>
      <c r="C351" t="s">
        <v>95</v>
      </c>
      <c r="D351" t="s">
        <v>151</v>
      </c>
      <c r="E351">
        <v>3</v>
      </c>
      <c r="F351">
        <v>2008</v>
      </c>
      <c r="G351">
        <v>1</v>
      </c>
      <c r="H351">
        <v>0</v>
      </c>
      <c r="I351" t="str">
        <f>IF(H351=1,B351,"")</f>
        <v/>
      </c>
      <c r="J351" t="s">
        <v>187</v>
      </c>
      <c r="K351">
        <v>2008</v>
      </c>
      <c r="L351" s="43">
        <v>7</v>
      </c>
      <c r="M351">
        <v>0</v>
      </c>
    </row>
    <row r="352" spans="1:16" ht="15.75" customHeight="1" x14ac:dyDescent="0.2">
      <c r="A352">
        <f t="shared" si="11"/>
        <v>1</v>
      </c>
      <c r="B352" t="s">
        <v>114</v>
      </c>
      <c r="C352" t="s">
        <v>95</v>
      </c>
      <c r="D352" t="s">
        <v>151</v>
      </c>
      <c r="E352">
        <v>4</v>
      </c>
      <c r="F352">
        <v>2009</v>
      </c>
      <c r="G352">
        <v>1</v>
      </c>
      <c r="H352">
        <v>0</v>
      </c>
      <c r="I352" t="str">
        <f>IF(H352=1,B352,"")</f>
        <v/>
      </c>
      <c r="J352" t="s">
        <v>189</v>
      </c>
      <c r="K352">
        <v>2009</v>
      </c>
      <c r="L352" s="43">
        <v>6</v>
      </c>
      <c r="M352">
        <v>0</v>
      </c>
    </row>
    <row r="353" spans="1:13" ht="15.75" customHeight="1" x14ac:dyDescent="0.2">
      <c r="A353">
        <f t="shared" si="11"/>
        <v>1</v>
      </c>
      <c r="B353" t="s">
        <v>114</v>
      </c>
      <c r="C353" t="s">
        <v>95</v>
      </c>
      <c r="D353" t="s">
        <v>281</v>
      </c>
      <c r="E353" t="s">
        <v>265</v>
      </c>
      <c r="F353">
        <v>2010</v>
      </c>
      <c r="G353">
        <v>1</v>
      </c>
      <c r="H353">
        <v>0</v>
      </c>
      <c r="L353" s="43">
        <v>5</v>
      </c>
      <c r="M353">
        <v>0</v>
      </c>
    </row>
    <row r="354" spans="1:13" ht="15.75" customHeight="1" x14ac:dyDescent="0.2">
      <c r="A354">
        <f t="shared" si="11"/>
        <v>1</v>
      </c>
      <c r="B354" t="s">
        <v>114</v>
      </c>
      <c r="C354" t="s">
        <v>95</v>
      </c>
      <c r="D354" t="s">
        <v>281</v>
      </c>
      <c r="E354" t="s">
        <v>253</v>
      </c>
      <c r="F354">
        <v>2010</v>
      </c>
      <c r="G354">
        <v>1</v>
      </c>
      <c r="H354">
        <v>0</v>
      </c>
      <c r="L354" s="43">
        <v>4</v>
      </c>
      <c r="M354">
        <v>0</v>
      </c>
    </row>
    <row r="355" spans="1:13" ht="15.75" customHeight="1" x14ac:dyDescent="0.2">
      <c r="A355">
        <f t="shared" si="11"/>
        <v>1</v>
      </c>
      <c r="B355" t="s">
        <v>114</v>
      </c>
      <c r="C355" t="s">
        <v>95</v>
      </c>
      <c r="D355" t="s">
        <v>151</v>
      </c>
      <c r="E355">
        <v>4</v>
      </c>
      <c r="F355">
        <v>2011</v>
      </c>
      <c r="G355">
        <v>1</v>
      </c>
      <c r="H355">
        <v>0</v>
      </c>
      <c r="L355" s="43">
        <v>3</v>
      </c>
      <c r="M355">
        <v>0</v>
      </c>
    </row>
    <row r="356" spans="1:13" ht="15.75" customHeight="1" x14ac:dyDescent="0.2">
      <c r="A356">
        <f t="shared" si="11"/>
        <v>1</v>
      </c>
      <c r="B356" t="s">
        <v>114</v>
      </c>
      <c r="C356" t="s">
        <v>95</v>
      </c>
      <c r="D356" t="s">
        <v>151</v>
      </c>
      <c r="E356">
        <v>5</v>
      </c>
      <c r="F356">
        <v>2014</v>
      </c>
      <c r="G356">
        <v>1</v>
      </c>
      <c r="H356">
        <v>0</v>
      </c>
      <c r="K356">
        <v>2013</v>
      </c>
      <c r="L356">
        <v>2</v>
      </c>
      <c r="M356">
        <v>0</v>
      </c>
    </row>
    <row r="357" spans="1:13" ht="15.75" customHeight="1" x14ac:dyDescent="0.2">
      <c r="A357">
        <f t="shared" si="11"/>
        <v>0</v>
      </c>
      <c r="B357" s="97" t="s">
        <v>114</v>
      </c>
      <c r="C357" s="97"/>
      <c r="D357" s="97" t="s">
        <v>281</v>
      </c>
      <c r="E357" s="96" t="s">
        <v>486</v>
      </c>
      <c r="F357" s="97">
        <v>2014</v>
      </c>
      <c r="G357" s="97">
        <v>1</v>
      </c>
      <c r="H357" s="97">
        <v>0</v>
      </c>
      <c r="I357" s="97"/>
      <c r="J357" s="97"/>
      <c r="K357" s="97"/>
      <c r="L357" s="97">
        <v>1</v>
      </c>
      <c r="M357">
        <v>0</v>
      </c>
    </row>
    <row r="358" spans="1:13" ht="15.75" customHeight="1" x14ac:dyDescent="0.2">
      <c r="A358">
        <f t="shared" si="11"/>
        <v>1</v>
      </c>
      <c r="B358" t="s">
        <v>159</v>
      </c>
      <c r="C358" t="s">
        <v>158</v>
      </c>
      <c r="D358" t="s">
        <v>151</v>
      </c>
      <c r="E358">
        <v>2</v>
      </c>
      <c r="F358">
        <v>2000</v>
      </c>
      <c r="G358">
        <v>1</v>
      </c>
      <c r="H358">
        <v>1</v>
      </c>
      <c r="I358" t="str">
        <f>IF(H358=1,B358,"")</f>
        <v>Korea, Democratic People's Republic of</v>
      </c>
      <c r="K358">
        <v>2000</v>
      </c>
      <c r="L358">
        <v>2</v>
      </c>
      <c r="M358">
        <v>1</v>
      </c>
    </row>
    <row r="359" spans="1:13" ht="15.75" customHeight="1" x14ac:dyDescent="0.2">
      <c r="A359">
        <f t="shared" si="11"/>
        <v>0</v>
      </c>
      <c r="B359" t="s">
        <v>159</v>
      </c>
      <c r="C359" t="s">
        <v>158</v>
      </c>
      <c r="D359" t="s">
        <v>151</v>
      </c>
      <c r="E359">
        <v>4</v>
      </c>
      <c r="F359">
        <v>2009</v>
      </c>
      <c r="G359">
        <v>1</v>
      </c>
      <c r="H359">
        <v>0</v>
      </c>
      <c r="I359" t="str">
        <f>IF(H359=1,B359,"")</f>
        <v/>
      </c>
      <c r="K359">
        <v>2009</v>
      </c>
      <c r="L359">
        <v>1</v>
      </c>
      <c r="M359">
        <v>0</v>
      </c>
    </row>
    <row r="360" spans="1:13" ht="15.75" customHeight="1" x14ac:dyDescent="0.2">
      <c r="A360">
        <f t="shared" si="11"/>
        <v>0</v>
      </c>
      <c r="B360" t="s">
        <v>476</v>
      </c>
      <c r="C360" t="s">
        <v>19</v>
      </c>
      <c r="D360" t="s">
        <v>151</v>
      </c>
      <c r="E360">
        <v>5</v>
      </c>
      <c r="F360">
        <v>2014</v>
      </c>
      <c r="G360">
        <v>1</v>
      </c>
      <c r="H360">
        <v>0</v>
      </c>
      <c r="I360" t="str">
        <f>IF(H360=1,B360,"")</f>
        <v/>
      </c>
      <c r="L360">
        <v>2</v>
      </c>
      <c r="M360">
        <v>0</v>
      </c>
    </row>
    <row r="361" spans="1:13" ht="15.75" customHeight="1" x14ac:dyDescent="0.2">
      <c r="A361">
        <f t="shared" si="11"/>
        <v>0</v>
      </c>
      <c r="B361" t="s">
        <v>475</v>
      </c>
      <c r="C361" t="s">
        <v>19</v>
      </c>
      <c r="D361" t="s">
        <v>151</v>
      </c>
      <c r="E361">
        <v>5</v>
      </c>
      <c r="F361">
        <v>2014</v>
      </c>
      <c r="G361">
        <v>1</v>
      </c>
      <c r="H361">
        <v>1</v>
      </c>
      <c r="I361" t="str">
        <f>IF(H361=1,B361,"")</f>
        <v>Kosovo (UNSCR 1244/99)</v>
      </c>
      <c r="L361">
        <v>1</v>
      </c>
      <c r="M361">
        <v>1</v>
      </c>
    </row>
    <row r="362" spans="1:13" ht="15.75" customHeight="1" x14ac:dyDescent="0.2">
      <c r="A362">
        <f t="shared" si="11"/>
        <v>1</v>
      </c>
      <c r="B362" t="s">
        <v>156</v>
      </c>
      <c r="C362" t="s">
        <v>19</v>
      </c>
      <c r="D362" t="s">
        <v>244</v>
      </c>
      <c r="E362" t="s">
        <v>215</v>
      </c>
      <c r="F362">
        <v>1993</v>
      </c>
      <c r="G362">
        <v>1</v>
      </c>
      <c r="H362">
        <v>1</v>
      </c>
      <c r="I362" t="str">
        <f>IF(H362=1,B362,"")</f>
        <v>Kyrgyzstan</v>
      </c>
      <c r="L362">
        <v>16</v>
      </c>
      <c r="M362">
        <v>1</v>
      </c>
    </row>
    <row r="363" spans="1:13" ht="15.75" customHeight="1" x14ac:dyDescent="0.2">
      <c r="A363">
        <f t="shared" si="11"/>
        <v>1</v>
      </c>
      <c r="B363" t="s">
        <v>156</v>
      </c>
      <c r="C363" t="s">
        <v>19</v>
      </c>
      <c r="D363" t="s">
        <v>244</v>
      </c>
      <c r="E363" t="s">
        <v>215</v>
      </c>
      <c r="F363">
        <v>1996</v>
      </c>
      <c r="G363">
        <v>1</v>
      </c>
      <c r="H363">
        <v>0</v>
      </c>
      <c r="L363">
        <v>15</v>
      </c>
      <c r="M363">
        <v>0</v>
      </c>
    </row>
    <row r="364" spans="1:13" ht="15.75" customHeight="1" x14ac:dyDescent="0.2">
      <c r="A364">
        <f t="shared" si="11"/>
        <v>1</v>
      </c>
      <c r="B364" t="s">
        <v>156</v>
      </c>
      <c r="C364" t="s">
        <v>19</v>
      </c>
      <c r="D364" t="s">
        <v>281</v>
      </c>
      <c r="E364" t="s">
        <v>253</v>
      </c>
      <c r="F364">
        <v>1997</v>
      </c>
      <c r="G364">
        <v>1</v>
      </c>
      <c r="H364">
        <v>1</v>
      </c>
      <c r="I364" t="str">
        <f>IF(H364=1,B364,"")</f>
        <v>Kyrgyzstan</v>
      </c>
      <c r="L364">
        <v>14</v>
      </c>
      <c r="M364">
        <v>0</v>
      </c>
    </row>
    <row r="365" spans="1:13" ht="15.75" customHeight="1" x14ac:dyDescent="0.2">
      <c r="A365">
        <f t="shared" si="11"/>
        <v>1</v>
      </c>
      <c r="B365" t="s">
        <v>156</v>
      </c>
      <c r="C365" t="s">
        <v>19</v>
      </c>
      <c r="D365" t="s">
        <v>244</v>
      </c>
      <c r="E365" t="s">
        <v>215</v>
      </c>
      <c r="F365">
        <v>1997</v>
      </c>
      <c r="G365">
        <v>1</v>
      </c>
      <c r="H365">
        <v>0</v>
      </c>
      <c r="L365">
        <v>13</v>
      </c>
      <c r="M365">
        <v>0</v>
      </c>
    </row>
    <row r="366" spans="1:13" ht="15.75" customHeight="1" x14ac:dyDescent="0.2">
      <c r="A366">
        <f t="shared" si="11"/>
        <v>1</v>
      </c>
      <c r="B366" t="s">
        <v>156</v>
      </c>
      <c r="C366" t="s">
        <v>19</v>
      </c>
      <c r="D366" t="s">
        <v>244</v>
      </c>
      <c r="E366" t="s">
        <v>215</v>
      </c>
      <c r="F366">
        <v>1998</v>
      </c>
      <c r="G366">
        <v>1</v>
      </c>
      <c r="H366">
        <v>0</v>
      </c>
      <c r="L366">
        <v>12</v>
      </c>
      <c r="M366">
        <v>0</v>
      </c>
    </row>
    <row r="367" spans="1:13" ht="15.75" customHeight="1" x14ac:dyDescent="0.2">
      <c r="A367">
        <f t="shared" si="11"/>
        <v>1</v>
      </c>
      <c r="B367" t="s">
        <v>156</v>
      </c>
      <c r="C367" t="s">
        <v>19</v>
      </c>
      <c r="D367" t="s">
        <v>450</v>
      </c>
      <c r="E367" t="s">
        <v>450</v>
      </c>
      <c r="F367">
        <v>2005</v>
      </c>
      <c r="G367">
        <v>1</v>
      </c>
      <c r="H367">
        <v>1</v>
      </c>
      <c r="I367" t="str">
        <f>IF(H367=1,B367,"")</f>
        <v>Kyrgyzstan</v>
      </c>
      <c r="L367">
        <v>11</v>
      </c>
      <c r="M367">
        <v>0</v>
      </c>
    </row>
    <row r="368" spans="1:13" ht="15.75" customHeight="1" x14ac:dyDescent="0.2">
      <c r="A368">
        <f t="shared" si="11"/>
        <v>1</v>
      </c>
      <c r="B368" t="s">
        <v>156</v>
      </c>
      <c r="C368" t="s">
        <v>19</v>
      </c>
      <c r="D368" t="s">
        <v>450</v>
      </c>
      <c r="E368" t="s">
        <v>450</v>
      </c>
      <c r="F368">
        <v>2006</v>
      </c>
      <c r="G368">
        <v>1</v>
      </c>
      <c r="H368">
        <v>0</v>
      </c>
      <c r="L368">
        <v>10</v>
      </c>
      <c r="M368">
        <v>0</v>
      </c>
    </row>
    <row r="369" spans="1:13" ht="15.75" customHeight="1" x14ac:dyDescent="0.2">
      <c r="A369">
        <f t="shared" si="11"/>
        <v>1</v>
      </c>
      <c r="B369" t="s">
        <v>156</v>
      </c>
      <c r="C369" t="s">
        <v>19</v>
      </c>
      <c r="D369" t="s">
        <v>151</v>
      </c>
      <c r="E369">
        <v>3</v>
      </c>
      <c r="F369">
        <v>2006</v>
      </c>
      <c r="G369">
        <v>1</v>
      </c>
      <c r="H369">
        <v>1</v>
      </c>
      <c r="I369" t="str">
        <f>IF(H369=1,B369,"")</f>
        <v>Kyrgyzstan</v>
      </c>
      <c r="K369">
        <v>2005</v>
      </c>
      <c r="L369">
        <v>9</v>
      </c>
      <c r="M369">
        <v>0</v>
      </c>
    </row>
    <row r="370" spans="1:13" ht="15.75" customHeight="1" x14ac:dyDescent="0.2">
      <c r="A370">
        <f t="shared" si="11"/>
        <v>1</v>
      </c>
      <c r="B370" t="s">
        <v>156</v>
      </c>
      <c r="C370" t="s">
        <v>19</v>
      </c>
      <c r="D370" t="s">
        <v>450</v>
      </c>
      <c r="E370" t="s">
        <v>450</v>
      </c>
      <c r="F370">
        <v>2007</v>
      </c>
      <c r="G370">
        <v>1</v>
      </c>
      <c r="H370">
        <v>0</v>
      </c>
      <c r="L370">
        <v>8</v>
      </c>
      <c r="M370">
        <v>0</v>
      </c>
    </row>
    <row r="371" spans="1:13" ht="15.75" customHeight="1" x14ac:dyDescent="0.2">
      <c r="A371">
        <f t="shared" si="11"/>
        <v>1</v>
      </c>
      <c r="B371" t="s">
        <v>156</v>
      </c>
      <c r="C371" t="s">
        <v>19</v>
      </c>
      <c r="D371" t="s">
        <v>450</v>
      </c>
      <c r="E371" t="s">
        <v>450</v>
      </c>
      <c r="F371">
        <v>2008</v>
      </c>
      <c r="G371">
        <v>1</v>
      </c>
      <c r="H371">
        <v>0</v>
      </c>
      <c r="L371">
        <v>7</v>
      </c>
      <c r="M371">
        <v>0</v>
      </c>
    </row>
    <row r="372" spans="1:13" ht="15.75" customHeight="1" x14ac:dyDescent="0.2">
      <c r="A372">
        <f t="shared" si="11"/>
        <v>1</v>
      </c>
      <c r="B372" t="s">
        <v>156</v>
      </c>
      <c r="C372" t="s">
        <v>19</v>
      </c>
      <c r="D372" t="s">
        <v>450</v>
      </c>
      <c r="E372" t="s">
        <v>450</v>
      </c>
      <c r="F372">
        <v>2009</v>
      </c>
      <c r="G372">
        <v>1</v>
      </c>
      <c r="H372">
        <v>0</v>
      </c>
      <c r="L372">
        <v>6</v>
      </c>
      <c r="M372">
        <v>0</v>
      </c>
    </row>
    <row r="373" spans="1:13" ht="15.75" customHeight="1" x14ac:dyDescent="0.2">
      <c r="A373">
        <f t="shared" si="11"/>
        <v>1</v>
      </c>
      <c r="B373" t="s">
        <v>156</v>
      </c>
      <c r="C373" t="s">
        <v>19</v>
      </c>
      <c r="D373" t="s">
        <v>450</v>
      </c>
      <c r="E373" t="s">
        <v>450</v>
      </c>
      <c r="F373">
        <v>2010</v>
      </c>
      <c r="G373">
        <v>1</v>
      </c>
      <c r="H373">
        <v>0</v>
      </c>
      <c r="L373">
        <v>5</v>
      </c>
      <c r="M373">
        <v>0</v>
      </c>
    </row>
    <row r="374" spans="1:13" ht="15.75" customHeight="1" x14ac:dyDescent="0.2">
      <c r="A374">
        <f t="shared" si="11"/>
        <v>1</v>
      </c>
      <c r="B374" t="s">
        <v>156</v>
      </c>
      <c r="C374" t="s">
        <v>19</v>
      </c>
      <c r="D374" t="s">
        <v>450</v>
      </c>
      <c r="E374" t="s">
        <v>450</v>
      </c>
      <c r="F374">
        <v>2011</v>
      </c>
      <c r="G374">
        <v>1</v>
      </c>
      <c r="H374">
        <v>0</v>
      </c>
      <c r="L374">
        <v>4</v>
      </c>
      <c r="M374">
        <v>0</v>
      </c>
    </row>
    <row r="375" spans="1:13" ht="15.75" customHeight="1" x14ac:dyDescent="0.2">
      <c r="A375">
        <f t="shared" si="11"/>
        <v>1</v>
      </c>
      <c r="B375" t="s">
        <v>156</v>
      </c>
      <c r="C375" t="s">
        <v>19</v>
      </c>
      <c r="D375" t="s">
        <v>281</v>
      </c>
      <c r="E375" t="s">
        <v>253</v>
      </c>
      <c r="F375">
        <v>2012</v>
      </c>
      <c r="G375">
        <v>1</v>
      </c>
      <c r="H375">
        <v>0</v>
      </c>
      <c r="L375">
        <v>3</v>
      </c>
      <c r="M375">
        <v>0</v>
      </c>
    </row>
    <row r="376" spans="1:13" ht="15.75" customHeight="1" x14ac:dyDescent="0.2">
      <c r="A376">
        <f t="shared" si="11"/>
        <v>1</v>
      </c>
      <c r="B376" s="105" t="s">
        <v>156</v>
      </c>
      <c r="C376" s="105" t="s">
        <v>19</v>
      </c>
      <c r="D376" s="105" t="s">
        <v>450</v>
      </c>
      <c r="E376" s="105" t="s">
        <v>450</v>
      </c>
      <c r="F376" s="105">
        <v>2012</v>
      </c>
      <c r="G376" s="105">
        <v>1</v>
      </c>
      <c r="H376" s="105">
        <v>0</v>
      </c>
      <c r="I376" s="105"/>
      <c r="J376" s="105"/>
      <c r="K376" s="105"/>
      <c r="L376" s="105">
        <v>2</v>
      </c>
      <c r="M376" s="105">
        <v>0</v>
      </c>
    </row>
    <row r="377" spans="1:13" ht="15.75" customHeight="1" x14ac:dyDescent="0.2">
      <c r="A377">
        <f t="shared" si="11"/>
        <v>0</v>
      </c>
      <c r="B377" s="97" t="s">
        <v>156</v>
      </c>
      <c r="C377" s="97" t="s">
        <v>154</v>
      </c>
      <c r="D377" s="98" t="s">
        <v>151</v>
      </c>
      <c r="E377" s="104"/>
      <c r="F377" s="98">
        <v>2014</v>
      </c>
      <c r="G377" s="99">
        <v>1</v>
      </c>
      <c r="H377" s="98">
        <v>0</v>
      </c>
      <c r="I377" s="97"/>
      <c r="J377" s="97"/>
      <c r="K377" s="98">
        <v>2014</v>
      </c>
      <c r="L377" s="97">
        <v>1</v>
      </c>
      <c r="M377">
        <v>0</v>
      </c>
    </row>
    <row r="378" spans="1:13" ht="15.75" customHeight="1" x14ac:dyDescent="0.2">
      <c r="A378">
        <f t="shared" si="11"/>
        <v>1</v>
      </c>
      <c r="B378" t="s">
        <v>160</v>
      </c>
      <c r="C378" t="s">
        <v>158</v>
      </c>
      <c r="D378" t="s">
        <v>151</v>
      </c>
      <c r="E378">
        <v>2</v>
      </c>
      <c r="F378">
        <v>2000</v>
      </c>
      <c r="G378">
        <v>1</v>
      </c>
      <c r="H378">
        <v>1</v>
      </c>
      <c r="I378" t="str">
        <f t="shared" ref="I378:I388" si="12">IF(H378=1,B378,"")</f>
        <v>Lao People's Democratic Republic</v>
      </c>
      <c r="K378">
        <v>2000</v>
      </c>
      <c r="L378">
        <v>4</v>
      </c>
      <c r="M378">
        <v>1</v>
      </c>
    </row>
    <row r="379" spans="1:13" ht="15.75" customHeight="1" x14ac:dyDescent="0.2">
      <c r="A379">
        <f t="shared" si="11"/>
        <v>1</v>
      </c>
      <c r="B379" t="s">
        <v>160</v>
      </c>
      <c r="C379" t="s">
        <v>158</v>
      </c>
      <c r="D379" t="s">
        <v>151</v>
      </c>
      <c r="E379">
        <v>3</v>
      </c>
      <c r="F379">
        <v>2006</v>
      </c>
      <c r="G379">
        <v>1</v>
      </c>
      <c r="H379">
        <v>0</v>
      </c>
      <c r="I379" t="str">
        <f t="shared" si="12"/>
        <v/>
      </c>
      <c r="K379">
        <v>2006</v>
      </c>
      <c r="L379">
        <v>3</v>
      </c>
      <c r="M379">
        <v>0</v>
      </c>
    </row>
    <row r="380" spans="1:13" ht="15.75" customHeight="1" x14ac:dyDescent="0.2">
      <c r="A380">
        <f t="shared" si="11"/>
        <v>1</v>
      </c>
      <c r="B380" t="s">
        <v>160</v>
      </c>
      <c r="C380" t="s">
        <v>158</v>
      </c>
      <c r="D380" t="s">
        <v>281</v>
      </c>
      <c r="E380" t="s">
        <v>253</v>
      </c>
      <c r="F380">
        <v>2011</v>
      </c>
      <c r="G380">
        <v>1</v>
      </c>
      <c r="H380">
        <v>1</v>
      </c>
      <c r="I380" t="str">
        <f t="shared" si="12"/>
        <v>Lao People's Democratic Republic</v>
      </c>
      <c r="L380">
        <v>2</v>
      </c>
      <c r="M380">
        <v>0</v>
      </c>
    </row>
    <row r="381" spans="1:13" ht="15.75" customHeight="1" x14ac:dyDescent="0.2">
      <c r="A381">
        <f t="shared" si="11"/>
        <v>0</v>
      </c>
      <c r="B381" t="s">
        <v>160</v>
      </c>
      <c r="C381" t="s">
        <v>158</v>
      </c>
      <c r="D381" t="s">
        <v>151</v>
      </c>
      <c r="E381">
        <v>4</v>
      </c>
      <c r="F381">
        <v>2012</v>
      </c>
      <c r="G381">
        <v>1</v>
      </c>
      <c r="H381">
        <v>0</v>
      </c>
      <c r="I381" t="str">
        <f t="shared" si="12"/>
        <v/>
      </c>
      <c r="K381">
        <v>2011</v>
      </c>
      <c r="L381">
        <v>1</v>
      </c>
      <c r="M381">
        <v>0</v>
      </c>
    </row>
    <row r="382" spans="1:13" ht="15.75" customHeight="1" x14ac:dyDescent="0.2">
      <c r="A382">
        <f t="shared" si="11"/>
        <v>1</v>
      </c>
      <c r="B382" t="s">
        <v>168</v>
      </c>
      <c r="C382" t="s">
        <v>468</v>
      </c>
      <c r="D382" t="s">
        <v>151</v>
      </c>
      <c r="E382">
        <v>2</v>
      </c>
      <c r="F382">
        <v>2000</v>
      </c>
      <c r="G382">
        <v>1</v>
      </c>
      <c r="H382">
        <v>1</v>
      </c>
      <c r="I382" t="str">
        <f t="shared" si="12"/>
        <v>Lebanon</v>
      </c>
      <c r="K382">
        <v>2000</v>
      </c>
      <c r="L382">
        <v>4</v>
      </c>
      <c r="M382">
        <v>1</v>
      </c>
    </row>
    <row r="383" spans="1:13" ht="15.75" customHeight="1" x14ac:dyDescent="0.2">
      <c r="A383">
        <f t="shared" si="11"/>
        <v>1</v>
      </c>
      <c r="B383" t="s">
        <v>168</v>
      </c>
      <c r="C383" t="s">
        <v>468</v>
      </c>
      <c r="D383" t="s">
        <v>380</v>
      </c>
      <c r="E383" t="s">
        <v>332</v>
      </c>
      <c r="F383">
        <v>2002</v>
      </c>
      <c r="G383">
        <v>1</v>
      </c>
      <c r="H383">
        <v>1</v>
      </c>
      <c r="I383" t="str">
        <f t="shared" si="12"/>
        <v>Lebanon</v>
      </c>
      <c r="K383">
        <v>2002</v>
      </c>
      <c r="L383">
        <v>3</v>
      </c>
      <c r="M383">
        <v>0</v>
      </c>
    </row>
    <row r="384" spans="1:13" ht="15.75" customHeight="1" x14ac:dyDescent="0.2">
      <c r="A384">
        <f t="shared" si="11"/>
        <v>1</v>
      </c>
      <c r="B384" t="s">
        <v>168</v>
      </c>
      <c r="C384" t="s">
        <v>468</v>
      </c>
      <c r="D384" t="s">
        <v>151</v>
      </c>
      <c r="E384">
        <v>3</v>
      </c>
      <c r="F384">
        <v>2006</v>
      </c>
      <c r="G384">
        <v>1</v>
      </c>
      <c r="H384">
        <v>0</v>
      </c>
      <c r="I384" t="str">
        <f t="shared" si="12"/>
        <v/>
      </c>
      <c r="J384" t="s">
        <v>193</v>
      </c>
      <c r="K384">
        <v>2006</v>
      </c>
      <c r="L384">
        <v>2</v>
      </c>
      <c r="M384">
        <v>0</v>
      </c>
    </row>
    <row r="385" spans="1:17" x14ac:dyDescent="0.2">
      <c r="A385">
        <f t="shared" si="11"/>
        <v>0</v>
      </c>
      <c r="B385" t="s">
        <v>168</v>
      </c>
      <c r="C385" t="s">
        <v>468</v>
      </c>
      <c r="D385" t="s">
        <v>151</v>
      </c>
      <c r="E385">
        <v>4</v>
      </c>
      <c r="F385">
        <v>2011</v>
      </c>
      <c r="G385">
        <v>1</v>
      </c>
      <c r="H385">
        <v>0</v>
      </c>
      <c r="I385" t="str">
        <f t="shared" si="12"/>
        <v/>
      </c>
      <c r="J385" t="s">
        <v>193</v>
      </c>
      <c r="K385">
        <v>2011</v>
      </c>
      <c r="L385">
        <v>1</v>
      </c>
      <c r="M385">
        <v>0</v>
      </c>
    </row>
    <row r="386" spans="1:17" ht="15.75" customHeight="1" x14ac:dyDescent="0.2">
      <c r="A386">
        <f t="shared" si="11"/>
        <v>1</v>
      </c>
      <c r="B386" t="s">
        <v>115</v>
      </c>
      <c r="C386" t="s">
        <v>95</v>
      </c>
      <c r="D386" t="s">
        <v>151</v>
      </c>
      <c r="E386">
        <v>2</v>
      </c>
      <c r="F386">
        <v>2000</v>
      </c>
      <c r="G386">
        <v>1</v>
      </c>
      <c r="H386">
        <v>1</v>
      </c>
      <c r="I386" t="str">
        <f t="shared" si="12"/>
        <v>Lesotho</v>
      </c>
      <c r="K386">
        <v>2000</v>
      </c>
      <c r="L386">
        <v>3</v>
      </c>
      <c r="M386">
        <v>1</v>
      </c>
    </row>
    <row r="387" spans="1:17" ht="15.75" customHeight="1" x14ac:dyDescent="0.2">
      <c r="A387">
        <f t="shared" si="11"/>
        <v>1</v>
      </c>
      <c r="B387" t="s">
        <v>115</v>
      </c>
      <c r="C387" t="s">
        <v>95</v>
      </c>
      <c r="D387" t="s">
        <v>304</v>
      </c>
      <c r="E387" t="s">
        <v>304</v>
      </c>
      <c r="F387">
        <v>2002</v>
      </c>
      <c r="G387">
        <v>1</v>
      </c>
      <c r="H387">
        <v>1</v>
      </c>
      <c r="I387" t="str">
        <f t="shared" si="12"/>
        <v>Lesotho</v>
      </c>
      <c r="L387">
        <v>4</v>
      </c>
      <c r="M387">
        <v>0</v>
      </c>
    </row>
    <row r="388" spans="1:17" ht="15.75" customHeight="1" x14ac:dyDescent="0.2">
      <c r="A388">
        <f t="shared" si="11"/>
        <v>1</v>
      </c>
      <c r="B388" t="s">
        <v>115</v>
      </c>
      <c r="C388" t="s">
        <v>95</v>
      </c>
      <c r="D388" t="s">
        <v>281</v>
      </c>
      <c r="E388" t="s">
        <v>253</v>
      </c>
      <c r="F388">
        <v>2004</v>
      </c>
      <c r="G388">
        <v>1</v>
      </c>
      <c r="H388">
        <v>1</v>
      </c>
      <c r="I388" t="str">
        <f t="shared" si="12"/>
        <v>Lesotho</v>
      </c>
      <c r="L388">
        <v>2</v>
      </c>
      <c r="M388">
        <v>0</v>
      </c>
    </row>
    <row r="389" spans="1:17" ht="15.75" customHeight="1" x14ac:dyDescent="0.2">
      <c r="A389">
        <f t="shared" si="11"/>
        <v>0</v>
      </c>
      <c r="B389" t="s">
        <v>115</v>
      </c>
      <c r="C389" t="s">
        <v>95</v>
      </c>
      <c r="D389" t="s">
        <v>281</v>
      </c>
      <c r="E389" t="s">
        <v>253</v>
      </c>
      <c r="F389">
        <v>2009</v>
      </c>
      <c r="G389">
        <v>1</v>
      </c>
      <c r="H389">
        <v>0</v>
      </c>
      <c r="L389">
        <v>1</v>
      </c>
      <c r="M389">
        <v>0</v>
      </c>
    </row>
    <row r="390" spans="1:17" ht="15.75" customHeight="1" x14ac:dyDescent="0.2">
      <c r="A390">
        <f t="shared" si="11"/>
        <v>1</v>
      </c>
      <c r="B390" t="s">
        <v>116</v>
      </c>
      <c r="C390" t="s">
        <v>308</v>
      </c>
      <c r="D390" t="s">
        <v>281</v>
      </c>
      <c r="E390" t="s">
        <v>253</v>
      </c>
      <c r="F390">
        <v>1986</v>
      </c>
      <c r="G390">
        <v>1</v>
      </c>
      <c r="H390">
        <v>1</v>
      </c>
      <c r="I390" t="str">
        <f>IF(H390=1,B390,"")</f>
        <v>Liberia</v>
      </c>
      <c r="L390">
        <v>8</v>
      </c>
      <c r="M390">
        <v>1</v>
      </c>
    </row>
    <row r="391" spans="1:17" ht="15.75" customHeight="1" x14ac:dyDescent="0.2">
      <c r="A391">
        <f t="shared" si="11"/>
        <v>1</v>
      </c>
      <c r="B391" t="s">
        <v>116</v>
      </c>
      <c r="C391" t="s">
        <v>308</v>
      </c>
      <c r="D391" t="s">
        <v>151</v>
      </c>
      <c r="E391">
        <v>1</v>
      </c>
      <c r="F391">
        <v>1995</v>
      </c>
      <c r="G391">
        <v>1</v>
      </c>
      <c r="H391">
        <v>1</v>
      </c>
      <c r="I391" t="str">
        <f>IF(H391=1,B391,"")</f>
        <v>Liberia</v>
      </c>
      <c r="K391">
        <v>1995</v>
      </c>
      <c r="L391">
        <v>7</v>
      </c>
      <c r="M391">
        <v>0</v>
      </c>
    </row>
    <row r="392" spans="1:17" ht="15.75" customHeight="1" x14ac:dyDescent="0.2">
      <c r="A392">
        <f t="shared" si="11"/>
        <v>1</v>
      </c>
      <c r="B392" t="s">
        <v>116</v>
      </c>
      <c r="C392" t="s">
        <v>308</v>
      </c>
      <c r="D392" t="s">
        <v>304</v>
      </c>
      <c r="E392" t="s">
        <v>304</v>
      </c>
      <c r="F392">
        <v>2007</v>
      </c>
      <c r="G392">
        <v>1</v>
      </c>
      <c r="H392">
        <v>1</v>
      </c>
      <c r="I392" t="str">
        <f>IF(H392=1,B392,"")</f>
        <v>Liberia</v>
      </c>
      <c r="L392">
        <v>6</v>
      </c>
      <c r="M392">
        <v>0</v>
      </c>
    </row>
    <row r="393" spans="1:17" ht="15.75" customHeight="1" x14ac:dyDescent="0.2">
      <c r="A393">
        <f t="shared" ref="A393:A456" si="13">IF(B393=B394,1,0)</f>
        <v>1</v>
      </c>
      <c r="B393" t="s">
        <v>116</v>
      </c>
      <c r="C393" t="s">
        <v>308</v>
      </c>
      <c r="D393" t="s">
        <v>281</v>
      </c>
      <c r="E393" t="s">
        <v>276</v>
      </c>
      <c r="F393">
        <v>2007</v>
      </c>
      <c r="G393">
        <v>1</v>
      </c>
      <c r="H393">
        <v>0</v>
      </c>
      <c r="L393">
        <v>5</v>
      </c>
      <c r="M393">
        <v>0</v>
      </c>
    </row>
    <row r="394" spans="1:17" ht="15.75" customHeight="1" x14ac:dyDescent="0.2">
      <c r="A394">
        <f t="shared" si="13"/>
        <v>1</v>
      </c>
      <c r="B394" t="s">
        <v>116</v>
      </c>
      <c r="C394" t="s">
        <v>308</v>
      </c>
      <c r="D394" t="s">
        <v>281</v>
      </c>
      <c r="E394" t="s">
        <v>253</v>
      </c>
      <c r="F394">
        <v>2009</v>
      </c>
      <c r="G394">
        <v>1</v>
      </c>
      <c r="H394">
        <v>0</v>
      </c>
      <c r="L394">
        <v>4</v>
      </c>
      <c r="M394">
        <v>0</v>
      </c>
    </row>
    <row r="395" spans="1:17" ht="15.75" customHeight="1" x14ac:dyDescent="0.2">
      <c r="A395">
        <f t="shared" si="13"/>
        <v>1</v>
      </c>
      <c r="B395" t="s">
        <v>116</v>
      </c>
      <c r="C395" t="s">
        <v>308</v>
      </c>
      <c r="D395" t="s">
        <v>304</v>
      </c>
      <c r="E395" t="s">
        <v>304</v>
      </c>
      <c r="F395">
        <v>2010</v>
      </c>
      <c r="G395">
        <v>1</v>
      </c>
      <c r="H395">
        <v>0</v>
      </c>
      <c r="L395">
        <v>3</v>
      </c>
      <c r="M395">
        <v>0</v>
      </c>
    </row>
    <row r="396" spans="1:17" ht="15.75" customHeight="1" x14ac:dyDescent="0.2">
      <c r="A396">
        <f t="shared" si="13"/>
        <v>1</v>
      </c>
      <c r="B396" t="s">
        <v>116</v>
      </c>
      <c r="C396" t="s">
        <v>308</v>
      </c>
      <c r="D396" t="s">
        <v>281</v>
      </c>
      <c r="E396" t="s">
        <v>253</v>
      </c>
      <c r="F396">
        <v>2011</v>
      </c>
      <c r="G396">
        <v>1</v>
      </c>
      <c r="H396">
        <v>0</v>
      </c>
      <c r="I396" t="str">
        <f>IF(H396=1,B396,"")</f>
        <v/>
      </c>
      <c r="L396">
        <v>2</v>
      </c>
      <c r="M396">
        <v>0</v>
      </c>
    </row>
    <row r="397" spans="1:17" ht="15.75" customHeight="1" x14ac:dyDescent="0.2">
      <c r="A397">
        <f t="shared" si="13"/>
        <v>0</v>
      </c>
      <c r="B397" s="105" t="s">
        <v>116</v>
      </c>
      <c r="C397" s="105" t="s">
        <v>308</v>
      </c>
      <c r="D397" s="105" t="s">
        <v>281</v>
      </c>
      <c r="E397" s="105" t="s">
        <v>279</v>
      </c>
      <c r="F397" s="105">
        <v>2013</v>
      </c>
      <c r="G397" s="105">
        <v>1</v>
      </c>
      <c r="H397" s="105">
        <v>0</v>
      </c>
      <c r="I397" s="105"/>
      <c r="J397" s="105"/>
      <c r="K397" s="105"/>
      <c r="L397" s="105">
        <v>1</v>
      </c>
      <c r="M397" s="105">
        <v>0</v>
      </c>
    </row>
    <row r="398" spans="1:17" x14ac:dyDescent="0.2">
      <c r="A398">
        <f t="shared" si="13"/>
        <v>1</v>
      </c>
      <c r="B398" t="s">
        <v>464</v>
      </c>
      <c r="C398" t="s">
        <v>468</v>
      </c>
      <c r="D398" t="s">
        <v>380</v>
      </c>
      <c r="E398" t="s">
        <v>334</v>
      </c>
      <c r="F398">
        <v>2002</v>
      </c>
      <c r="G398">
        <v>1</v>
      </c>
      <c r="H398">
        <v>1</v>
      </c>
      <c r="I398" t="str">
        <f t="shared" ref="I398:I403" si="14">IF(H398=1,B398,"")</f>
        <v>Lybia</v>
      </c>
      <c r="L398">
        <v>2</v>
      </c>
      <c r="M398">
        <v>1</v>
      </c>
      <c r="N398" s="107"/>
      <c r="O398" s="107"/>
      <c r="P398" s="107"/>
      <c r="Q398" s="105"/>
    </row>
    <row r="399" spans="1:17" ht="15.75" customHeight="1" x14ac:dyDescent="0.2">
      <c r="A399">
        <f t="shared" si="13"/>
        <v>0</v>
      </c>
      <c r="B399" s="105" t="s">
        <v>464</v>
      </c>
      <c r="C399" s="105" t="s">
        <v>468</v>
      </c>
      <c r="D399" s="105" t="s">
        <v>380</v>
      </c>
      <c r="E399" s="105" t="s">
        <v>334</v>
      </c>
      <c r="F399" s="105">
        <v>2007</v>
      </c>
      <c r="G399" s="105">
        <v>1</v>
      </c>
      <c r="H399" s="105">
        <v>0</v>
      </c>
      <c r="I399" s="105" t="str">
        <f t="shared" si="14"/>
        <v/>
      </c>
      <c r="J399" s="105"/>
      <c r="K399" s="105"/>
      <c r="L399" s="105">
        <v>1</v>
      </c>
      <c r="M399" s="105">
        <v>0</v>
      </c>
    </row>
    <row r="400" spans="1:17" ht="15.75" customHeight="1" x14ac:dyDescent="0.2">
      <c r="A400">
        <f t="shared" si="13"/>
        <v>1</v>
      </c>
      <c r="B400" t="s">
        <v>35</v>
      </c>
      <c r="C400" t="s">
        <v>19</v>
      </c>
      <c r="D400" t="s">
        <v>151</v>
      </c>
      <c r="E400">
        <v>3</v>
      </c>
      <c r="F400">
        <v>2005</v>
      </c>
      <c r="G400">
        <v>1</v>
      </c>
      <c r="H400">
        <v>1</v>
      </c>
      <c r="I400" t="str">
        <f t="shared" si="14"/>
        <v>Macedonia</v>
      </c>
      <c r="K400">
        <v>2005</v>
      </c>
      <c r="L400">
        <v>3</v>
      </c>
      <c r="M400">
        <v>1</v>
      </c>
    </row>
    <row r="401" spans="1:13" ht="15.75" customHeight="1" x14ac:dyDescent="0.2">
      <c r="A401">
        <f t="shared" si="13"/>
        <v>1</v>
      </c>
      <c r="B401" t="s">
        <v>35</v>
      </c>
      <c r="C401" t="s">
        <v>19</v>
      </c>
      <c r="D401" t="s">
        <v>151</v>
      </c>
      <c r="E401">
        <v>4</v>
      </c>
      <c r="F401">
        <v>2011</v>
      </c>
      <c r="G401">
        <v>1</v>
      </c>
      <c r="H401">
        <v>0</v>
      </c>
      <c r="I401" t="str">
        <f t="shared" si="14"/>
        <v/>
      </c>
      <c r="K401">
        <v>2011</v>
      </c>
      <c r="L401">
        <v>2</v>
      </c>
      <c r="M401">
        <v>0</v>
      </c>
    </row>
    <row r="402" spans="1:13" ht="15.75" customHeight="1" x14ac:dyDescent="0.2">
      <c r="A402">
        <f t="shared" si="13"/>
        <v>0</v>
      </c>
      <c r="B402" t="s">
        <v>35</v>
      </c>
      <c r="C402" t="s">
        <v>19</v>
      </c>
      <c r="D402" t="s">
        <v>151</v>
      </c>
      <c r="E402">
        <v>4</v>
      </c>
      <c r="F402">
        <v>2011</v>
      </c>
      <c r="G402">
        <v>1</v>
      </c>
      <c r="H402">
        <v>0</v>
      </c>
      <c r="I402" t="str">
        <f t="shared" si="14"/>
        <v/>
      </c>
      <c r="J402" t="s">
        <v>190</v>
      </c>
      <c r="K402">
        <v>2011</v>
      </c>
      <c r="L402">
        <v>1</v>
      </c>
      <c r="M402">
        <v>0</v>
      </c>
    </row>
    <row r="403" spans="1:13" ht="15.75" customHeight="1" x14ac:dyDescent="0.2">
      <c r="A403">
        <f t="shared" si="13"/>
        <v>1</v>
      </c>
      <c r="B403" t="s">
        <v>117</v>
      </c>
      <c r="C403" t="s">
        <v>95</v>
      </c>
      <c r="D403" t="s">
        <v>281</v>
      </c>
      <c r="E403" t="s">
        <v>271</v>
      </c>
      <c r="F403">
        <v>1992</v>
      </c>
      <c r="G403">
        <v>1</v>
      </c>
      <c r="H403">
        <v>1</v>
      </c>
      <c r="I403" t="str">
        <f t="shared" si="14"/>
        <v>Madagascar</v>
      </c>
      <c r="L403">
        <v>8</v>
      </c>
      <c r="M403">
        <v>1</v>
      </c>
    </row>
    <row r="404" spans="1:13" ht="15.75" customHeight="1" x14ac:dyDescent="0.2">
      <c r="A404">
        <f t="shared" si="13"/>
        <v>1</v>
      </c>
      <c r="B404" t="s">
        <v>117</v>
      </c>
      <c r="C404" t="s">
        <v>95</v>
      </c>
      <c r="D404" t="s">
        <v>281</v>
      </c>
      <c r="E404" t="s">
        <v>253</v>
      </c>
      <c r="F404">
        <v>1997</v>
      </c>
      <c r="G404">
        <v>1</v>
      </c>
      <c r="H404">
        <v>0</v>
      </c>
      <c r="L404">
        <v>7</v>
      </c>
      <c r="M404">
        <v>0</v>
      </c>
    </row>
    <row r="405" spans="1:13" ht="15.75" customHeight="1" x14ac:dyDescent="0.2">
      <c r="A405">
        <f t="shared" si="13"/>
        <v>1</v>
      </c>
      <c r="B405" t="s">
        <v>117</v>
      </c>
      <c r="C405" t="s">
        <v>95</v>
      </c>
      <c r="D405" t="s">
        <v>151</v>
      </c>
      <c r="E405">
        <v>2</v>
      </c>
      <c r="F405">
        <v>2000</v>
      </c>
      <c r="G405">
        <v>1</v>
      </c>
      <c r="H405">
        <v>1</v>
      </c>
      <c r="I405" t="str">
        <f>IF(H405=1,B405,"")</f>
        <v>Madagascar</v>
      </c>
      <c r="K405">
        <v>2000</v>
      </c>
      <c r="L405">
        <v>6</v>
      </c>
      <c r="M405">
        <v>0</v>
      </c>
    </row>
    <row r="406" spans="1:13" ht="15.75" customHeight="1" x14ac:dyDescent="0.2">
      <c r="A406">
        <f t="shared" si="13"/>
        <v>1</v>
      </c>
      <c r="B406" t="s">
        <v>117</v>
      </c>
      <c r="C406" t="s">
        <v>95</v>
      </c>
      <c r="D406" t="s">
        <v>281</v>
      </c>
      <c r="E406" t="s">
        <v>253</v>
      </c>
      <c r="F406">
        <v>2004</v>
      </c>
      <c r="G406">
        <v>1</v>
      </c>
      <c r="H406">
        <v>0</v>
      </c>
      <c r="L406">
        <v>5</v>
      </c>
      <c r="M406">
        <v>0</v>
      </c>
    </row>
    <row r="407" spans="1:13" ht="15.75" customHeight="1" x14ac:dyDescent="0.2">
      <c r="A407">
        <f t="shared" si="13"/>
        <v>1</v>
      </c>
      <c r="B407" t="s">
        <v>117</v>
      </c>
      <c r="C407" t="s">
        <v>95</v>
      </c>
      <c r="D407" t="s">
        <v>281</v>
      </c>
      <c r="E407" t="s">
        <v>253</v>
      </c>
      <c r="F407">
        <v>2008</v>
      </c>
      <c r="G407">
        <v>1</v>
      </c>
      <c r="H407">
        <v>0</v>
      </c>
      <c r="L407">
        <v>4</v>
      </c>
      <c r="M407">
        <v>0</v>
      </c>
    </row>
    <row r="408" spans="1:13" ht="15.75" customHeight="1" x14ac:dyDescent="0.2">
      <c r="A408">
        <f t="shared" si="13"/>
        <v>1</v>
      </c>
      <c r="B408" t="s">
        <v>117</v>
      </c>
      <c r="C408" t="s">
        <v>95</v>
      </c>
      <c r="D408" t="s">
        <v>281</v>
      </c>
      <c r="E408" t="s">
        <v>253</v>
      </c>
      <c r="F408">
        <v>2011</v>
      </c>
      <c r="G408">
        <v>1</v>
      </c>
      <c r="H408">
        <v>0</v>
      </c>
      <c r="L408">
        <v>3</v>
      </c>
      <c r="M408">
        <v>0</v>
      </c>
    </row>
    <row r="409" spans="1:13" ht="15.75" customHeight="1" x14ac:dyDescent="0.2">
      <c r="A409">
        <f t="shared" si="13"/>
        <v>1</v>
      </c>
      <c r="B409" t="s">
        <v>117</v>
      </c>
      <c r="C409" t="s">
        <v>95</v>
      </c>
      <c r="D409" t="s">
        <v>151</v>
      </c>
      <c r="E409">
        <v>4</v>
      </c>
      <c r="F409">
        <v>2012</v>
      </c>
      <c r="G409">
        <v>1</v>
      </c>
      <c r="H409">
        <v>0</v>
      </c>
      <c r="L409">
        <v>2</v>
      </c>
      <c r="M409">
        <v>0</v>
      </c>
    </row>
    <row r="410" spans="1:13" ht="15.75" customHeight="1" x14ac:dyDescent="0.2">
      <c r="A410">
        <f t="shared" si="13"/>
        <v>0</v>
      </c>
      <c r="B410" t="s">
        <v>117</v>
      </c>
      <c r="C410" t="s">
        <v>95</v>
      </c>
      <c r="D410" t="s">
        <v>281</v>
      </c>
      <c r="E410" t="s">
        <v>253</v>
      </c>
      <c r="F410">
        <v>2013</v>
      </c>
      <c r="G410">
        <v>1</v>
      </c>
      <c r="H410">
        <v>0</v>
      </c>
      <c r="L410">
        <v>1</v>
      </c>
      <c r="M410">
        <v>0</v>
      </c>
    </row>
    <row r="411" spans="1:13" ht="15.75" customHeight="1" x14ac:dyDescent="0.2">
      <c r="A411">
        <f t="shared" si="13"/>
        <v>1</v>
      </c>
      <c r="B411" t="s">
        <v>118</v>
      </c>
      <c r="C411" t="s">
        <v>95</v>
      </c>
      <c r="D411" t="s">
        <v>281</v>
      </c>
      <c r="E411" t="s">
        <v>261</v>
      </c>
      <c r="F411">
        <v>1992</v>
      </c>
      <c r="G411">
        <v>1</v>
      </c>
      <c r="H411">
        <v>1</v>
      </c>
      <c r="I411" t="str">
        <f>IF(H411=1,B411,"")</f>
        <v>Malawi</v>
      </c>
      <c r="L411">
        <v>22</v>
      </c>
      <c r="M411">
        <v>1</v>
      </c>
    </row>
    <row r="412" spans="1:13" ht="15.75" customHeight="1" x14ac:dyDescent="0.2">
      <c r="A412">
        <f t="shared" si="13"/>
        <v>1</v>
      </c>
      <c r="B412" t="s">
        <v>118</v>
      </c>
      <c r="C412" t="s">
        <v>95</v>
      </c>
      <c r="D412" t="s">
        <v>151</v>
      </c>
      <c r="E412">
        <v>1</v>
      </c>
      <c r="F412">
        <v>1995</v>
      </c>
      <c r="G412">
        <v>1</v>
      </c>
      <c r="H412">
        <v>1</v>
      </c>
      <c r="I412" t="str">
        <f>IF(H412=1,B412,"")</f>
        <v>Malawi</v>
      </c>
      <c r="K412">
        <v>1995</v>
      </c>
      <c r="L412">
        <v>21</v>
      </c>
      <c r="M412">
        <v>0</v>
      </c>
    </row>
    <row r="413" spans="1:13" ht="15.75" customHeight="1" x14ac:dyDescent="0.2">
      <c r="A413">
        <f t="shared" si="13"/>
        <v>1</v>
      </c>
      <c r="B413" t="s">
        <v>118</v>
      </c>
      <c r="C413" t="s">
        <v>95</v>
      </c>
      <c r="D413" t="s">
        <v>281</v>
      </c>
      <c r="E413" t="s">
        <v>253</v>
      </c>
      <c r="F413">
        <v>1996</v>
      </c>
      <c r="G413">
        <v>1</v>
      </c>
      <c r="H413">
        <v>0</v>
      </c>
      <c r="L413">
        <v>20</v>
      </c>
      <c r="M413">
        <v>0</v>
      </c>
    </row>
    <row r="414" spans="1:13" ht="15.75" customHeight="1" x14ac:dyDescent="0.2">
      <c r="A414">
        <f t="shared" si="13"/>
        <v>1</v>
      </c>
      <c r="B414" t="s">
        <v>118</v>
      </c>
      <c r="C414" t="s">
        <v>95</v>
      </c>
      <c r="D414" t="s">
        <v>450</v>
      </c>
      <c r="E414" t="s">
        <v>446</v>
      </c>
      <c r="F414">
        <v>1998</v>
      </c>
      <c r="G414">
        <v>1</v>
      </c>
      <c r="H414">
        <v>1</v>
      </c>
      <c r="I414" t="str">
        <f>IF(H414=1,B414,"")</f>
        <v>Malawi</v>
      </c>
      <c r="K414">
        <v>1997</v>
      </c>
      <c r="L414">
        <v>19</v>
      </c>
      <c r="M414">
        <v>0</v>
      </c>
    </row>
    <row r="415" spans="1:13" ht="15.75" customHeight="1" x14ac:dyDescent="0.2">
      <c r="A415">
        <f t="shared" si="13"/>
        <v>1</v>
      </c>
      <c r="B415" t="s">
        <v>118</v>
      </c>
      <c r="C415" t="s">
        <v>95</v>
      </c>
      <c r="D415" t="s">
        <v>281</v>
      </c>
      <c r="E415" t="s">
        <v>253</v>
      </c>
      <c r="F415">
        <v>2000</v>
      </c>
      <c r="G415">
        <v>1</v>
      </c>
      <c r="H415">
        <v>0</v>
      </c>
      <c r="L415">
        <v>17</v>
      </c>
      <c r="M415">
        <v>0</v>
      </c>
    </row>
    <row r="416" spans="1:13" ht="15.75" customHeight="1" x14ac:dyDescent="0.2">
      <c r="A416">
        <f t="shared" si="13"/>
        <v>1</v>
      </c>
      <c r="B416" t="s">
        <v>118</v>
      </c>
      <c r="C416" t="s">
        <v>95</v>
      </c>
      <c r="D416" t="s">
        <v>304</v>
      </c>
      <c r="E416" t="s">
        <v>304</v>
      </c>
      <c r="F416">
        <v>2002</v>
      </c>
      <c r="G416">
        <v>1</v>
      </c>
      <c r="H416">
        <v>1</v>
      </c>
      <c r="I416" t="str">
        <f>IF(H416=1,B416,"")</f>
        <v>Malawi</v>
      </c>
      <c r="L416">
        <v>18</v>
      </c>
      <c r="M416">
        <v>0</v>
      </c>
    </row>
    <row r="417" spans="1:13" ht="15.75" customHeight="1" x14ac:dyDescent="0.2">
      <c r="A417">
        <f t="shared" si="13"/>
        <v>1</v>
      </c>
      <c r="B417" t="s">
        <v>118</v>
      </c>
      <c r="C417" t="s">
        <v>95</v>
      </c>
      <c r="D417" t="s">
        <v>281</v>
      </c>
      <c r="E417" t="s">
        <v>253</v>
      </c>
      <c r="F417">
        <v>2004</v>
      </c>
      <c r="G417">
        <v>1</v>
      </c>
      <c r="H417">
        <v>0</v>
      </c>
      <c r="L417">
        <v>16</v>
      </c>
      <c r="M417">
        <v>0</v>
      </c>
    </row>
    <row r="418" spans="1:13" ht="15.75" customHeight="1" x14ac:dyDescent="0.2">
      <c r="A418">
        <f t="shared" si="13"/>
        <v>1</v>
      </c>
      <c r="B418" t="s">
        <v>118</v>
      </c>
      <c r="C418" t="s">
        <v>95</v>
      </c>
      <c r="D418" t="s">
        <v>244</v>
      </c>
      <c r="E418" t="s">
        <v>219</v>
      </c>
      <c r="F418">
        <v>2004</v>
      </c>
      <c r="G418">
        <v>1</v>
      </c>
      <c r="H418">
        <v>1</v>
      </c>
      <c r="I418" t="str">
        <f>IF(H418=1,B418,"")</f>
        <v>Malawi</v>
      </c>
      <c r="L418">
        <v>15</v>
      </c>
      <c r="M418">
        <v>0</v>
      </c>
    </row>
    <row r="419" spans="1:13" ht="15.75" customHeight="1" x14ac:dyDescent="0.2">
      <c r="A419">
        <f t="shared" si="13"/>
        <v>1</v>
      </c>
      <c r="B419" t="s">
        <v>118</v>
      </c>
      <c r="C419" t="s">
        <v>95</v>
      </c>
      <c r="D419" t="s">
        <v>304</v>
      </c>
      <c r="E419" t="s">
        <v>434</v>
      </c>
      <c r="F419">
        <v>2005</v>
      </c>
      <c r="G419">
        <v>1</v>
      </c>
      <c r="H419">
        <v>0</v>
      </c>
      <c r="L419">
        <v>14</v>
      </c>
      <c r="M419">
        <v>0</v>
      </c>
    </row>
    <row r="420" spans="1:13" ht="15.75" customHeight="1" x14ac:dyDescent="0.2">
      <c r="A420">
        <f t="shared" si="13"/>
        <v>1</v>
      </c>
      <c r="B420" t="s">
        <v>118</v>
      </c>
      <c r="C420" t="s">
        <v>95</v>
      </c>
      <c r="D420" t="s">
        <v>304</v>
      </c>
      <c r="E420" t="s">
        <v>434</v>
      </c>
      <c r="F420">
        <v>2006</v>
      </c>
      <c r="G420">
        <v>1</v>
      </c>
      <c r="H420">
        <v>0</v>
      </c>
      <c r="L420">
        <v>13</v>
      </c>
      <c r="M420">
        <v>0</v>
      </c>
    </row>
    <row r="421" spans="1:13" ht="15.75" customHeight="1" x14ac:dyDescent="0.2">
      <c r="A421">
        <f t="shared" si="13"/>
        <v>1</v>
      </c>
      <c r="B421" t="s">
        <v>118</v>
      </c>
      <c r="C421" t="s">
        <v>95</v>
      </c>
      <c r="D421" t="s">
        <v>151</v>
      </c>
      <c r="E421">
        <v>3</v>
      </c>
      <c r="F421">
        <v>2006</v>
      </c>
      <c r="G421">
        <v>1</v>
      </c>
      <c r="H421">
        <v>0</v>
      </c>
      <c r="I421" t="str">
        <f>IF(H421=1,B421,"")</f>
        <v/>
      </c>
      <c r="K421">
        <v>2006</v>
      </c>
      <c r="L421">
        <v>12</v>
      </c>
      <c r="M421">
        <v>0</v>
      </c>
    </row>
    <row r="422" spans="1:13" ht="15.75" customHeight="1" x14ac:dyDescent="0.2">
      <c r="A422">
        <f t="shared" si="13"/>
        <v>1</v>
      </c>
      <c r="B422" t="s">
        <v>118</v>
      </c>
      <c r="C422" t="s">
        <v>95</v>
      </c>
      <c r="D422" t="s">
        <v>304</v>
      </c>
      <c r="E422" t="s">
        <v>434</v>
      </c>
      <c r="F422">
        <v>2007</v>
      </c>
      <c r="G422">
        <v>1</v>
      </c>
      <c r="H422">
        <v>0</v>
      </c>
      <c r="L422">
        <v>11</v>
      </c>
      <c r="M422">
        <v>0</v>
      </c>
    </row>
    <row r="423" spans="1:13" ht="15.75" customHeight="1" x14ac:dyDescent="0.2">
      <c r="A423">
        <f t="shared" si="13"/>
        <v>1</v>
      </c>
      <c r="B423" t="s">
        <v>118</v>
      </c>
      <c r="C423" t="s">
        <v>95</v>
      </c>
      <c r="D423" t="s">
        <v>304</v>
      </c>
      <c r="E423" t="s">
        <v>434</v>
      </c>
      <c r="F423">
        <v>2008</v>
      </c>
      <c r="G423">
        <v>1</v>
      </c>
      <c r="H423">
        <v>0</v>
      </c>
      <c r="L423">
        <v>10</v>
      </c>
      <c r="M423">
        <v>0</v>
      </c>
    </row>
    <row r="424" spans="1:13" ht="15.75" customHeight="1" x14ac:dyDescent="0.2">
      <c r="A424">
        <f t="shared" si="13"/>
        <v>1</v>
      </c>
      <c r="B424" t="s">
        <v>118</v>
      </c>
      <c r="C424" t="s">
        <v>95</v>
      </c>
      <c r="D424" t="s">
        <v>304</v>
      </c>
      <c r="E424" t="s">
        <v>434</v>
      </c>
      <c r="F424">
        <v>2009</v>
      </c>
      <c r="G424">
        <v>1</v>
      </c>
      <c r="H424">
        <v>0</v>
      </c>
      <c r="L424">
        <v>9</v>
      </c>
      <c r="M424">
        <v>0</v>
      </c>
    </row>
    <row r="425" spans="1:13" ht="15.75" customHeight="1" x14ac:dyDescent="0.2">
      <c r="A425">
        <f t="shared" si="13"/>
        <v>1</v>
      </c>
      <c r="B425" t="s">
        <v>118</v>
      </c>
      <c r="C425" t="s">
        <v>95</v>
      </c>
      <c r="D425" t="s">
        <v>281</v>
      </c>
      <c r="E425" t="s">
        <v>253</v>
      </c>
      <c r="F425">
        <v>2010</v>
      </c>
      <c r="G425">
        <v>1</v>
      </c>
      <c r="H425">
        <v>0</v>
      </c>
      <c r="L425">
        <v>8</v>
      </c>
      <c r="M425">
        <v>0</v>
      </c>
    </row>
    <row r="426" spans="1:13" ht="15.75" customHeight="1" x14ac:dyDescent="0.2">
      <c r="A426">
        <f t="shared" si="13"/>
        <v>1</v>
      </c>
      <c r="B426" t="s">
        <v>118</v>
      </c>
      <c r="C426" t="s">
        <v>95</v>
      </c>
      <c r="D426" t="s">
        <v>244</v>
      </c>
      <c r="E426" t="s">
        <v>220</v>
      </c>
      <c r="F426">
        <v>2010</v>
      </c>
      <c r="G426">
        <v>1</v>
      </c>
      <c r="H426">
        <v>0</v>
      </c>
      <c r="L426">
        <v>7</v>
      </c>
      <c r="M426">
        <v>0</v>
      </c>
    </row>
    <row r="427" spans="1:13" ht="15.75" customHeight="1" x14ac:dyDescent="0.2">
      <c r="A427">
        <f t="shared" si="13"/>
        <v>1</v>
      </c>
      <c r="B427" t="s">
        <v>118</v>
      </c>
      <c r="C427" t="s">
        <v>95</v>
      </c>
      <c r="D427" t="s">
        <v>304</v>
      </c>
      <c r="E427" t="s">
        <v>434</v>
      </c>
      <c r="F427">
        <v>2012</v>
      </c>
      <c r="G427">
        <v>1</v>
      </c>
      <c r="H427">
        <v>0</v>
      </c>
      <c r="K427">
        <v>2011</v>
      </c>
      <c r="L427">
        <v>5</v>
      </c>
      <c r="M427">
        <v>0</v>
      </c>
    </row>
    <row r="428" spans="1:13" ht="15.75" customHeight="1" x14ac:dyDescent="0.2">
      <c r="A428">
        <f t="shared" si="13"/>
        <v>1</v>
      </c>
      <c r="B428" t="s">
        <v>118</v>
      </c>
      <c r="C428" t="s">
        <v>95</v>
      </c>
      <c r="D428" t="s">
        <v>281</v>
      </c>
      <c r="E428" t="s">
        <v>259</v>
      </c>
      <c r="F428">
        <v>2012</v>
      </c>
      <c r="G428">
        <v>1</v>
      </c>
      <c r="H428">
        <v>0</v>
      </c>
      <c r="L428">
        <v>4</v>
      </c>
      <c r="M428">
        <v>0</v>
      </c>
    </row>
    <row r="429" spans="1:13" ht="15.75" customHeight="1" x14ac:dyDescent="0.2">
      <c r="A429">
        <f t="shared" si="13"/>
        <v>1</v>
      </c>
      <c r="B429" t="s">
        <v>118</v>
      </c>
      <c r="C429" t="s">
        <v>95</v>
      </c>
      <c r="D429" t="s">
        <v>281</v>
      </c>
      <c r="E429" t="s">
        <v>255</v>
      </c>
      <c r="F429">
        <v>2013</v>
      </c>
      <c r="G429">
        <v>1</v>
      </c>
      <c r="H429">
        <v>0</v>
      </c>
      <c r="L429">
        <v>6</v>
      </c>
      <c r="M429">
        <v>0</v>
      </c>
    </row>
    <row r="430" spans="1:13" ht="15.75" customHeight="1" x14ac:dyDescent="0.2">
      <c r="A430">
        <f t="shared" si="13"/>
        <v>1</v>
      </c>
      <c r="B430" t="s">
        <v>118</v>
      </c>
      <c r="C430" t="s">
        <v>95</v>
      </c>
      <c r="D430" t="s">
        <v>151</v>
      </c>
      <c r="E430">
        <v>5</v>
      </c>
      <c r="F430">
        <v>2014</v>
      </c>
      <c r="G430">
        <v>1</v>
      </c>
      <c r="H430">
        <v>0</v>
      </c>
      <c r="K430">
        <v>2013</v>
      </c>
      <c r="L430">
        <v>3</v>
      </c>
      <c r="M430">
        <v>0</v>
      </c>
    </row>
    <row r="431" spans="1:13" ht="15.75" customHeight="1" x14ac:dyDescent="0.2">
      <c r="A431">
        <f t="shared" si="13"/>
        <v>1</v>
      </c>
      <c r="B431" s="97" t="s">
        <v>118</v>
      </c>
      <c r="C431" s="97"/>
      <c r="D431" s="97" t="s">
        <v>281</v>
      </c>
      <c r="E431" s="96" t="s">
        <v>295</v>
      </c>
      <c r="F431" s="97">
        <v>2014</v>
      </c>
      <c r="G431" s="97">
        <v>1</v>
      </c>
      <c r="H431" s="97">
        <v>0</v>
      </c>
      <c r="I431" s="97"/>
      <c r="J431" s="97"/>
      <c r="K431" s="97"/>
      <c r="L431" s="97">
        <v>2</v>
      </c>
      <c r="M431">
        <v>0</v>
      </c>
    </row>
    <row r="432" spans="1:13" x14ac:dyDescent="0.2">
      <c r="A432">
        <f t="shared" si="13"/>
        <v>0</v>
      </c>
      <c r="B432" s="97" t="s">
        <v>118</v>
      </c>
      <c r="C432" s="97" t="s">
        <v>165</v>
      </c>
      <c r="D432" s="97" t="s">
        <v>244</v>
      </c>
      <c r="E432" s="97" t="s">
        <v>220</v>
      </c>
      <c r="F432" s="100">
        <v>2013</v>
      </c>
      <c r="G432" s="97">
        <v>1</v>
      </c>
      <c r="H432" s="97">
        <v>0</v>
      </c>
      <c r="I432" s="97"/>
      <c r="J432" s="97"/>
      <c r="K432" s="97"/>
      <c r="L432" s="97">
        <v>1</v>
      </c>
      <c r="M432">
        <v>0</v>
      </c>
    </row>
    <row r="433" spans="1:17" ht="15.75" customHeight="1" x14ac:dyDescent="0.2">
      <c r="A433">
        <f t="shared" si="13"/>
        <v>1</v>
      </c>
      <c r="B433" t="s">
        <v>90</v>
      </c>
      <c r="C433" t="s">
        <v>87</v>
      </c>
      <c r="D433" t="s">
        <v>151</v>
      </c>
      <c r="E433">
        <v>2</v>
      </c>
      <c r="F433">
        <v>2001</v>
      </c>
      <c r="G433">
        <v>1</v>
      </c>
      <c r="H433">
        <v>1</v>
      </c>
      <c r="I433" t="str">
        <f>IF(H433=1,B433,"")</f>
        <v>Maldives</v>
      </c>
      <c r="K433">
        <v>2001</v>
      </c>
      <c r="L433">
        <v>2</v>
      </c>
      <c r="M433">
        <v>1</v>
      </c>
    </row>
    <row r="434" spans="1:17" ht="15.75" customHeight="1" x14ac:dyDescent="0.2">
      <c r="A434">
        <f t="shared" si="13"/>
        <v>0</v>
      </c>
      <c r="B434" t="s">
        <v>90</v>
      </c>
      <c r="C434" t="s">
        <v>87</v>
      </c>
      <c r="D434" t="s">
        <v>281</v>
      </c>
      <c r="E434" t="s">
        <v>255</v>
      </c>
      <c r="F434">
        <v>2009</v>
      </c>
      <c r="G434">
        <v>1</v>
      </c>
      <c r="H434">
        <v>1</v>
      </c>
      <c r="I434" t="str">
        <f>IF(H434=1,B434,"")</f>
        <v>Maldives</v>
      </c>
      <c r="L434">
        <v>1</v>
      </c>
      <c r="M434">
        <v>0</v>
      </c>
    </row>
    <row r="435" spans="1:17" ht="15.75" customHeight="1" x14ac:dyDescent="0.2">
      <c r="A435">
        <f t="shared" si="13"/>
        <v>1</v>
      </c>
      <c r="B435" t="s">
        <v>119</v>
      </c>
      <c r="C435" t="s">
        <v>95</v>
      </c>
      <c r="D435" t="s">
        <v>281</v>
      </c>
      <c r="E435" t="s">
        <v>253</v>
      </c>
      <c r="F435">
        <v>1987</v>
      </c>
      <c r="G435">
        <v>1</v>
      </c>
      <c r="H435">
        <v>1</v>
      </c>
      <c r="I435" t="str">
        <f>IF(H435=1,B435,"")</f>
        <v>Mali</v>
      </c>
      <c r="L435">
        <v>7</v>
      </c>
      <c r="M435">
        <v>1</v>
      </c>
    </row>
    <row r="436" spans="1:17" ht="15.75" customHeight="1" x14ac:dyDescent="0.2">
      <c r="A436">
        <f t="shared" si="13"/>
        <v>1</v>
      </c>
      <c r="B436" t="s">
        <v>119</v>
      </c>
      <c r="C436" t="s">
        <v>95</v>
      </c>
      <c r="D436" t="s">
        <v>281</v>
      </c>
      <c r="E436" t="s">
        <v>253</v>
      </c>
      <c r="F436">
        <v>1996</v>
      </c>
      <c r="G436">
        <v>1</v>
      </c>
      <c r="H436">
        <v>0</v>
      </c>
      <c r="L436">
        <v>6</v>
      </c>
      <c r="M436">
        <v>0</v>
      </c>
    </row>
    <row r="437" spans="1:17" ht="15.75" customHeight="1" x14ac:dyDescent="0.2">
      <c r="A437">
        <f t="shared" si="13"/>
        <v>1</v>
      </c>
      <c r="B437" t="s">
        <v>119</v>
      </c>
      <c r="C437" t="s">
        <v>95</v>
      </c>
      <c r="D437" t="s">
        <v>281</v>
      </c>
      <c r="E437" t="s">
        <v>253</v>
      </c>
      <c r="F437">
        <v>2001</v>
      </c>
      <c r="G437">
        <v>1</v>
      </c>
      <c r="H437">
        <v>0</v>
      </c>
      <c r="L437">
        <v>5</v>
      </c>
      <c r="M437">
        <v>0</v>
      </c>
    </row>
    <row r="438" spans="1:17" x14ac:dyDescent="0.2">
      <c r="A438">
        <f t="shared" si="13"/>
        <v>1</v>
      </c>
      <c r="B438" t="s">
        <v>119</v>
      </c>
      <c r="C438" t="s">
        <v>95</v>
      </c>
      <c r="D438" t="s">
        <v>281</v>
      </c>
      <c r="E438" t="s">
        <v>267</v>
      </c>
      <c r="F438">
        <v>2006</v>
      </c>
      <c r="G438">
        <v>1</v>
      </c>
      <c r="H438">
        <v>0</v>
      </c>
      <c r="L438">
        <v>4</v>
      </c>
      <c r="M438">
        <v>0</v>
      </c>
    </row>
    <row r="439" spans="1:17" ht="15.75" customHeight="1" x14ac:dyDescent="0.2">
      <c r="A439">
        <f t="shared" si="13"/>
        <v>1</v>
      </c>
      <c r="B439" t="s">
        <v>119</v>
      </c>
      <c r="C439" t="s">
        <v>95</v>
      </c>
      <c r="D439" t="s">
        <v>304</v>
      </c>
      <c r="E439" t="s">
        <v>434</v>
      </c>
      <c r="F439">
        <v>2007</v>
      </c>
      <c r="G439">
        <v>1</v>
      </c>
      <c r="H439">
        <v>1</v>
      </c>
      <c r="I439" t="str">
        <f>IF(H439=1,B439,"")</f>
        <v>Mali</v>
      </c>
      <c r="K439">
        <v>2006</v>
      </c>
      <c r="L439">
        <v>3</v>
      </c>
      <c r="M439">
        <v>0</v>
      </c>
    </row>
    <row r="440" spans="1:17" ht="15.75" customHeight="1" x14ac:dyDescent="0.2">
      <c r="A440">
        <f t="shared" si="13"/>
        <v>1</v>
      </c>
      <c r="B440" t="s">
        <v>119</v>
      </c>
      <c r="C440" t="s">
        <v>95</v>
      </c>
      <c r="D440" t="s">
        <v>281</v>
      </c>
      <c r="E440" t="s">
        <v>253</v>
      </c>
      <c r="F440">
        <v>2010</v>
      </c>
      <c r="G440">
        <v>1</v>
      </c>
      <c r="H440">
        <v>0</v>
      </c>
      <c r="L440">
        <v>2</v>
      </c>
      <c r="M440">
        <v>0</v>
      </c>
      <c r="N440" s="107"/>
      <c r="O440" s="107"/>
      <c r="P440" s="107"/>
      <c r="Q440" s="105"/>
    </row>
    <row r="441" spans="1:17" ht="15.75" customHeight="1" x14ac:dyDescent="0.2">
      <c r="A441">
        <f t="shared" si="13"/>
        <v>0</v>
      </c>
      <c r="B441" s="105" t="s">
        <v>119</v>
      </c>
      <c r="C441" s="105" t="s">
        <v>95</v>
      </c>
      <c r="D441" s="105" t="s">
        <v>281</v>
      </c>
      <c r="E441" s="105" t="s">
        <v>256</v>
      </c>
      <c r="F441" s="105">
        <v>2012</v>
      </c>
      <c r="G441" s="105">
        <v>1</v>
      </c>
      <c r="H441" s="105">
        <v>0</v>
      </c>
      <c r="I441" s="105"/>
      <c r="J441" s="105"/>
      <c r="K441" s="105"/>
      <c r="L441" s="105">
        <v>1</v>
      </c>
      <c r="M441" s="105">
        <v>0</v>
      </c>
    </row>
    <row r="442" spans="1:17" ht="15.75" customHeight="1" x14ac:dyDescent="0.2">
      <c r="A442">
        <f t="shared" si="13"/>
        <v>1</v>
      </c>
      <c r="B442" t="s">
        <v>120</v>
      </c>
      <c r="C442" t="s">
        <v>95</v>
      </c>
      <c r="D442" t="s">
        <v>281</v>
      </c>
      <c r="E442" t="s">
        <v>250</v>
      </c>
      <c r="F442">
        <v>2000</v>
      </c>
      <c r="G442">
        <v>1</v>
      </c>
      <c r="H442">
        <v>1</v>
      </c>
      <c r="I442" t="str">
        <f>IF(H442=1,B442,"")</f>
        <v>Mauritania</v>
      </c>
      <c r="L442">
        <v>5</v>
      </c>
      <c r="M442">
        <v>1</v>
      </c>
    </row>
    <row r="443" spans="1:17" ht="15.75" customHeight="1" x14ac:dyDescent="0.2">
      <c r="A443">
        <f t="shared" si="13"/>
        <v>1</v>
      </c>
      <c r="B443" t="s">
        <v>120</v>
      </c>
      <c r="C443" t="s">
        <v>95</v>
      </c>
      <c r="D443" t="s">
        <v>281</v>
      </c>
      <c r="E443" t="s">
        <v>250</v>
      </c>
      <c r="F443">
        <v>2003</v>
      </c>
      <c r="G443">
        <v>1</v>
      </c>
      <c r="H443">
        <v>0</v>
      </c>
      <c r="L443">
        <v>4</v>
      </c>
      <c r="M443">
        <v>0</v>
      </c>
    </row>
    <row r="444" spans="1:17" ht="15.75" customHeight="1" x14ac:dyDescent="0.2">
      <c r="A444">
        <f t="shared" si="13"/>
        <v>1</v>
      </c>
      <c r="B444" t="s">
        <v>120</v>
      </c>
      <c r="C444" t="s">
        <v>95</v>
      </c>
      <c r="D444" t="s">
        <v>304</v>
      </c>
      <c r="E444" t="s">
        <v>440</v>
      </c>
      <c r="F444">
        <v>2004</v>
      </c>
      <c r="G444">
        <v>1</v>
      </c>
      <c r="H444">
        <v>1</v>
      </c>
      <c r="I444" t="str">
        <f>IF(H444=1,B444,"")</f>
        <v>Mauritania</v>
      </c>
      <c r="L444">
        <v>3</v>
      </c>
      <c r="M444">
        <v>0</v>
      </c>
    </row>
    <row r="445" spans="1:17" ht="15.75" customHeight="1" x14ac:dyDescent="0.2">
      <c r="A445">
        <f t="shared" si="13"/>
        <v>1</v>
      </c>
      <c r="B445" t="s">
        <v>120</v>
      </c>
      <c r="C445" t="s">
        <v>95</v>
      </c>
      <c r="D445" t="s">
        <v>151</v>
      </c>
      <c r="E445">
        <v>3</v>
      </c>
      <c r="F445">
        <v>2007</v>
      </c>
      <c r="G445">
        <v>1</v>
      </c>
      <c r="H445">
        <v>1</v>
      </c>
      <c r="I445" t="str">
        <f>IF(H445=1,B445,"")</f>
        <v>Mauritania</v>
      </c>
      <c r="K445">
        <v>2007</v>
      </c>
      <c r="L445">
        <v>2</v>
      </c>
      <c r="M445">
        <v>0</v>
      </c>
      <c r="N445" s="107"/>
      <c r="O445" s="107"/>
      <c r="P445" s="107"/>
      <c r="Q445" s="105"/>
    </row>
    <row r="446" spans="1:17" ht="15.75" customHeight="1" x14ac:dyDescent="0.2">
      <c r="A446">
        <f t="shared" si="13"/>
        <v>0</v>
      </c>
      <c r="B446" s="105" t="s">
        <v>120</v>
      </c>
      <c r="C446" s="105" t="s">
        <v>95</v>
      </c>
      <c r="D446" s="105" t="s">
        <v>151</v>
      </c>
      <c r="E446" s="105">
        <v>4</v>
      </c>
      <c r="F446" s="105">
        <v>2011</v>
      </c>
      <c r="G446" s="105">
        <v>1</v>
      </c>
      <c r="H446" s="105">
        <v>0</v>
      </c>
      <c r="I446" s="105"/>
      <c r="J446" s="105"/>
      <c r="K446" s="105">
        <v>2011</v>
      </c>
      <c r="L446" s="105">
        <v>1</v>
      </c>
      <c r="M446" s="105">
        <v>0</v>
      </c>
    </row>
    <row r="447" spans="1:17" ht="15.75" customHeight="1" x14ac:dyDescent="0.2">
      <c r="A447">
        <f t="shared" si="13"/>
        <v>0</v>
      </c>
      <c r="B447" t="s">
        <v>64</v>
      </c>
      <c r="C447" t="s">
        <v>469</v>
      </c>
      <c r="D447" t="s">
        <v>281</v>
      </c>
      <c r="E447" t="s">
        <v>253</v>
      </c>
      <c r="F447">
        <v>1987</v>
      </c>
      <c r="G447">
        <v>1</v>
      </c>
      <c r="H447">
        <v>1</v>
      </c>
      <c r="I447" t="str">
        <f>IF(H447=1,B447,"")</f>
        <v>Mexico</v>
      </c>
      <c r="L447">
        <v>1</v>
      </c>
      <c r="M447">
        <v>1</v>
      </c>
    </row>
    <row r="448" spans="1:17" ht="15.75" customHeight="1" x14ac:dyDescent="0.2">
      <c r="A448">
        <f t="shared" si="13"/>
        <v>1</v>
      </c>
      <c r="B448" t="s">
        <v>36</v>
      </c>
      <c r="C448" t="s">
        <v>19</v>
      </c>
      <c r="D448" t="s">
        <v>151</v>
      </c>
      <c r="E448">
        <v>2</v>
      </c>
      <c r="F448">
        <v>2000</v>
      </c>
      <c r="G448">
        <v>1</v>
      </c>
      <c r="H448">
        <v>1</v>
      </c>
      <c r="I448" t="str">
        <f>IF(H448=1,B448,"")</f>
        <v>Moldova</v>
      </c>
      <c r="K448">
        <v>2000</v>
      </c>
      <c r="L448">
        <v>4</v>
      </c>
      <c r="M448">
        <v>1</v>
      </c>
    </row>
    <row r="449" spans="1:17" ht="15.75" customHeight="1" x14ac:dyDescent="0.2">
      <c r="A449">
        <f t="shared" si="13"/>
        <v>1</v>
      </c>
      <c r="B449" t="s">
        <v>36</v>
      </c>
      <c r="C449" t="s">
        <v>19</v>
      </c>
      <c r="D449" t="s">
        <v>281</v>
      </c>
      <c r="E449" t="s">
        <v>250</v>
      </c>
      <c r="F449">
        <v>2005</v>
      </c>
      <c r="G449">
        <v>1</v>
      </c>
      <c r="H449">
        <v>1</v>
      </c>
      <c r="I449" t="str">
        <f>IF(H449=1,B449,"")</f>
        <v>Moldova</v>
      </c>
      <c r="L449">
        <v>3</v>
      </c>
      <c r="M449">
        <v>0</v>
      </c>
      <c r="N449" s="107"/>
      <c r="O449" s="107"/>
      <c r="P449" s="107"/>
      <c r="Q449" s="105"/>
    </row>
    <row r="450" spans="1:17" ht="15.75" customHeight="1" x14ac:dyDescent="0.2">
      <c r="A450">
        <f t="shared" si="13"/>
        <v>1</v>
      </c>
      <c r="B450" s="105" t="s">
        <v>36</v>
      </c>
      <c r="C450" s="105" t="s">
        <v>19</v>
      </c>
      <c r="D450" s="105" t="s">
        <v>151</v>
      </c>
      <c r="E450" s="105">
        <v>4</v>
      </c>
      <c r="F450" s="105">
        <v>2012</v>
      </c>
      <c r="G450" s="105">
        <v>1</v>
      </c>
      <c r="H450" s="105">
        <v>0</v>
      </c>
      <c r="I450" s="105"/>
      <c r="J450" s="105"/>
      <c r="K450" s="105"/>
      <c r="L450" s="105">
        <v>2</v>
      </c>
      <c r="M450" s="105">
        <v>0</v>
      </c>
    </row>
    <row r="451" spans="1:17" ht="15.75" customHeight="1" x14ac:dyDescent="0.2">
      <c r="A451">
        <f t="shared" si="13"/>
        <v>0</v>
      </c>
      <c r="B451" t="s">
        <v>36</v>
      </c>
      <c r="C451" t="s">
        <v>19</v>
      </c>
      <c r="D451" t="s">
        <v>151</v>
      </c>
      <c r="E451">
        <v>5</v>
      </c>
      <c r="F451">
        <v>2013</v>
      </c>
      <c r="G451">
        <v>1</v>
      </c>
      <c r="H451">
        <v>0</v>
      </c>
      <c r="L451">
        <v>1</v>
      </c>
      <c r="M451">
        <v>0</v>
      </c>
    </row>
    <row r="452" spans="1:17" ht="15.75" customHeight="1" x14ac:dyDescent="0.2">
      <c r="A452">
        <f t="shared" si="13"/>
        <v>1</v>
      </c>
      <c r="B452" t="s">
        <v>161</v>
      </c>
      <c r="C452" t="s">
        <v>158</v>
      </c>
      <c r="D452" t="s">
        <v>151</v>
      </c>
      <c r="E452">
        <v>2</v>
      </c>
      <c r="F452">
        <v>2000</v>
      </c>
      <c r="G452">
        <v>1</v>
      </c>
      <c r="H452">
        <v>1</v>
      </c>
      <c r="I452" t="str">
        <f>IF(H452=1,B452,"")</f>
        <v>Mongolia</v>
      </c>
      <c r="L452">
        <v>7</v>
      </c>
      <c r="M452">
        <v>0</v>
      </c>
    </row>
    <row r="453" spans="1:17" ht="15.75" customHeight="1" x14ac:dyDescent="0.2">
      <c r="A453">
        <f t="shared" si="13"/>
        <v>1</v>
      </c>
      <c r="B453" t="s">
        <v>161</v>
      </c>
      <c r="C453" t="s">
        <v>158</v>
      </c>
      <c r="D453" t="s">
        <v>244</v>
      </c>
      <c r="E453" t="s">
        <v>406</v>
      </c>
      <c r="F453">
        <v>2003</v>
      </c>
      <c r="G453">
        <v>1</v>
      </c>
      <c r="H453">
        <v>1</v>
      </c>
      <c r="I453" t="str">
        <f>IF(H453=1,B453,"")</f>
        <v>Mongolia</v>
      </c>
      <c r="K453">
        <v>2002</v>
      </c>
      <c r="L453">
        <v>4</v>
      </c>
      <c r="M453">
        <v>1</v>
      </c>
    </row>
    <row r="454" spans="1:17" ht="15.75" customHeight="1" x14ac:dyDescent="0.2">
      <c r="A454">
        <f t="shared" si="13"/>
        <v>1</v>
      </c>
      <c r="B454" t="s">
        <v>161</v>
      </c>
      <c r="C454" t="s">
        <v>158</v>
      </c>
      <c r="D454" t="s">
        <v>151</v>
      </c>
      <c r="E454">
        <v>3</v>
      </c>
      <c r="F454">
        <v>2005</v>
      </c>
      <c r="G454">
        <v>1</v>
      </c>
      <c r="H454">
        <v>0</v>
      </c>
      <c r="I454" t="str">
        <f>IF(H454=1,B454,"")</f>
        <v/>
      </c>
      <c r="K454">
        <v>2005</v>
      </c>
      <c r="L454">
        <v>3</v>
      </c>
      <c r="M454">
        <v>0</v>
      </c>
    </row>
    <row r="455" spans="1:17" ht="15.75" customHeight="1" x14ac:dyDescent="0.2">
      <c r="A455">
        <f t="shared" si="13"/>
        <v>1</v>
      </c>
      <c r="B455" s="105" t="s">
        <v>161</v>
      </c>
      <c r="C455" s="105" t="s">
        <v>158</v>
      </c>
      <c r="D455" s="105" t="s">
        <v>151</v>
      </c>
      <c r="E455" s="105">
        <v>4</v>
      </c>
      <c r="F455" s="105">
        <v>2010</v>
      </c>
      <c r="G455" s="105">
        <v>1</v>
      </c>
      <c r="H455" s="105">
        <v>0</v>
      </c>
      <c r="I455" s="105" t="str">
        <f>IF(H455=1,B455,"")</f>
        <v/>
      </c>
      <c r="J455" s="105"/>
      <c r="K455" s="105">
        <v>2010</v>
      </c>
      <c r="L455" s="105">
        <v>2</v>
      </c>
      <c r="M455" s="105">
        <v>0</v>
      </c>
    </row>
    <row r="456" spans="1:17" ht="15.75" customHeight="1" x14ac:dyDescent="0.2">
      <c r="A456">
        <f t="shared" si="13"/>
        <v>1</v>
      </c>
      <c r="B456" t="s">
        <v>161</v>
      </c>
      <c r="C456" t="s">
        <v>158</v>
      </c>
      <c r="D456" t="s">
        <v>151</v>
      </c>
      <c r="E456">
        <v>4</v>
      </c>
      <c r="F456">
        <v>2012</v>
      </c>
      <c r="G456">
        <v>1</v>
      </c>
      <c r="H456">
        <v>0</v>
      </c>
      <c r="L456">
        <v>5</v>
      </c>
      <c r="M456">
        <v>0</v>
      </c>
    </row>
    <row r="457" spans="1:17" ht="15.75" customHeight="1" x14ac:dyDescent="0.2">
      <c r="A457">
        <f t="shared" ref="A457:A520" si="15">IF(B457=B458,1,0)</f>
        <v>1</v>
      </c>
      <c r="B457" t="s">
        <v>161</v>
      </c>
      <c r="C457" t="s">
        <v>158</v>
      </c>
      <c r="D457" t="s">
        <v>151</v>
      </c>
      <c r="E457">
        <v>4</v>
      </c>
      <c r="F457">
        <v>2012</v>
      </c>
      <c r="G457">
        <v>1</v>
      </c>
      <c r="H457">
        <v>0</v>
      </c>
      <c r="L457">
        <v>6</v>
      </c>
      <c r="M457">
        <v>0</v>
      </c>
    </row>
    <row r="458" spans="1:17" ht="15.75" customHeight="1" x14ac:dyDescent="0.2">
      <c r="A458">
        <f t="shared" si="15"/>
        <v>0</v>
      </c>
      <c r="B458" t="s">
        <v>161</v>
      </c>
      <c r="C458" t="s">
        <v>158</v>
      </c>
      <c r="D458" t="s">
        <v>151</v>
      </c>
      <c r="E458">
        <v>5</v>
      </c>
      <c r="F458">
        <v>2013</v>
      </c>
      <c r="G458">
        <v>1</v>
      </c>
      <c r="H458">
        <v>0</v>
      </c>
      <c r="L458">
        <v>1</v>
      </c>
      <c r="M458">
        <v>0</v>
      </c>
    </row>
    <row r="459" spans="1:17" ht="15.75" customHeight="1" x14ac:dyDescent="0.2">
      <c r="A459">
        <f t="shared" si="15"/>
        <v>1</v>
      </c>
      <c r="B459" t="s">
        <v>37</v>
      </c>
      <c r="C459" t="s">
        <v>19</v>
      </c>
      <c r="D459" t="s">
        <v>151</v>
      </c>
      <c r="E459">
        <v>3</v>
      </c>
      <c r="F459">
        <v>2006</v>
      </c>
      <c r="G459">
        <v>1</v>
      </c>
      <c r="H459">
        <v>1</v>
      </c>
      <c r="I459" t="str">
        <f>IF(H459=1,B459,"")</f>
        <v>Montenegro</v>
      </c>
      <c r="K459">
        <v>2005</v>
      </c>
      <c r="L459">
        <v>3</v>
      </c>
      <c r="M459">
        <v>1</v>
      </c>
    </row>
    <row r="460" spans="1:17" ht="15.75" customHeight="1" x14ac:dyDescent="0.2">
      <c r="A460">
        <f t="shared" si="15"/>
        <v>1</v>
      </c>
      <c r="B460" t="s">
        <v>37</v>
      </c>
      <c r="C460" t="s">
        <v>19</v>
      </c>
      <c r="D460" t="s">
        <v>151</v>
      </c>
      <c r="E460">
        <v>5</v>
      </c>
      <c r="F460">
        <v>2013</v>
      </c>
      <c r="G460">
        <v>1</v>
      </c>
      <c r="H460">
        <v>0</v>
      </c>
      <c r="L460">
        <v>2</v>
      </c>
      <c r="M460">
        <v>0</v>
      </c>
    </row>
    <row r="461" spans="1:17" ht="15.75" customHeight="1" x14ac:dyDescent="0.2">
      <c r="A461">
        <f t="shared" si="15"/>
        <v>0</v>
      </c>
      <c r="B461" s="105" t="s">
        <v>37</v>
      </c>
      <c r="C461" s="105" t="s">
        <v>19</v>
      </c>
      <c r="D461" s="105" t="s">
        <v>151</v>
      </c>
      <c r="E461" s="105">
        <v>5</v>
      </c>
      <c r="F461" s="105">
        <v>2013</v>
      </c>
      <c r="G461" s="105">
        <v>1</v>
      </c>
      <c r="H461" s="105">
        <v>0</v>
      </c>
      <c r="I461" s="105"/>
      <c r="J461" s="105"/>
      <c r="K461" s="105"/>
      <c r="L461" s="105">
        <v>1</v>
      </c>
      <c r="M461" s="105">
        <v>0</v>
      </c>
    </row>
    <row r="462" spans="1:17" ht="15.75" customHeight="1" x14ac:dyDescent="0.2">
      <c r="A462">
        <f t="shared" si="15"/>
        <v>1</v>
      </c>
      <c r="B462" t="s">
        <v>81</v>
      </c>
      <c r="C462" t="s">
        <v>468</v>
      </c>
      <c r="D462" t="s">
        <v>281</v>
      </c>
      <c r="E462" t="s">
        <v>250</v>
      </c>
      <c r="F462">
        <v>1987</v>
      </c>
      <c r="G462">
        <v>1</v>
      </c>
      <c r="H462">
        <v>1</v>
      </c>
      <c r="I462" t="str">
        <f>IF(H462=1,B462,"")</f>
        <v>Morocco</v>
      </c>
      <c r="L462">
        <v>6</v>
      </c>
      <c r="M462">
        <v>1</v>
      </c>
    </row>
    <row r="463" spans="1:17" ht="15.75" customHeight="1" x14ac:dyDescent="0.2">
      <c r="A463">
        <f t="shared" si="15"/>
        <v>1</v>
      </c>
      <c r="B463" t="s">
        <v>81</v>
      </c>
      <c r="C463" t="s">
        <v>468</v>
      </c>
      <c r="D463" t="s">
        <v>244</v>
      </c>
      <c r="E463" t="s">
        <v>221</v>
      </c>
      <c r="F463">
        <v>1991</v>
      </c>
      <c r="G463">
        <v>1</v>
      </c>
      <c r="H463">
        <v>1</v>
      </c>
      <c r="I463" t="str">
        <f>IF(H463=1,B463,"")</f>
        <v>Morocco</v>
      </c>
      <c r="L463">
        <v>5</v>
      </c>
      <c r="M463">
        <v>0</v>
      </c>
    </row>
    <row r="464" spans="1:17" ht="15.75" customHeight="1" x14ac:dyDescent="0.2">
      <c r="A464">
        <f t="shared" si="15"/>
        <v>1</v>
      </c>
      <c r="B464" t="s">
        <v>81</v>
      </c>
      <c r="C464" t="s">
        <v>468</v>
      </c>
      <c r="D464" t="s">
        <v>281</v>
      </c>
      <c r="E464" t="s">
        <v>256</v>
      </c>
      <c r="F464">
        <v>1992</v>
      </c>
      <c r="G464">
        <v>1</v>
      </c>
      <c r="H464">
        <v>0</v>
      </c>
      <c r="L464">
        <v>4</v>
      </c>
      <c r="M464">
        <v>0</v>
      </c>
    </row>
    <row r="465" spans="1:13" ht="15.75" customHeight="1" x14ac:dyDescent="0.2">
      <c r="A465">
        <f t="shared" si="15"/>
        <v>1</v>
      </c>
      <c r="B465" t="s">
        <v>81</v>
      </c>
      <c r="C465" t="s">
        <v>468</v>
      </c>
      <c r="D465" t="s">
        <v>281</v>
      </c>
      <c r="E465" t="s">
        <v>250</v>
      </c>
      <c r="F465">
        <v>1995</v>
      </c>
      <c r="G465">
        <v>1</v>
      </c>
      <c r="H465">
        <v>0</v>
      </c>
      <c r="L465">
        <v>3</v>
      </c>
      <c r="M465">
        <v>0</v>
      </c>
    </row>
    <row r="466" spans="1:13" ht="15.75" customHeight="1" x14ac:dyDescent="0.2">
      <c r="A466">
        <f t="shared" si="15"/>
        <v>1</v>
      </c>
      <c r="B466" t="s">
        <v>81</v>
      </c>
      <c r="C466" t="s">
        <v>468</v>
      </c>
      <c r="D466" t="s">
        <v>281</v>
      </c>
      <c r="E466" t="s">
        <v>250</v>
      </c>
      <c r="F466">
        <v>2003</v>
      </c>
      <c r="G466">
        <v>1</v>
      </c>
      <c r="H466">
        <v>0</v>
      </c>
      <c r="L466">
        <v>2</v>
      </c>
      <c r="M466">
        <v>0</v>
      </c>
    </row>
    <row r="467" spans="1:13" ht="15.75" customHeight="1" x14ac:dyDescent="0.2">
      <c r="A467">
        <f t="shared" si="15"/>
        <v>1</v>
      </c>
      <c r="B467" t="s">
        <v>81</v>
      </c>
      <c r="C467" t="s">
        <v>468</v>
      </c>
      <c r="D467" t="s">
        <v>380</v>
      </c>
      <c r="E467" t="s">
        <v>328</v>
      </c>
      <c r="F467">
        <v>2004</v>
      </c>
      <c r="G467">
        <v>1</v>
      </c>
      <c r="H467">
        <v>1</v>
      </c>
      <c r="I467" t="str">
        <f>IF(H467=1,B467,"")</f>
        <v>Morocco</v>
      </c>
      <c r="K467">
        <v>2003</v>
      </c>
      <c r="L467">
        <v>1</v>
      </c>
      <c r="M467">
        <v>0</v>
      </c>
    </row>
    <row r="468" spans="1:13" ht="15.75" customHeight="1" x14ac:dyDescent="0.2">
      <c r="A468">
        <f t="shared" si="15"/>
        <v>0</v>
      </c>
      <c r="B468" s="105" t="s">
        <v>81</v>
      </c>
      <c r="C468" s="105" t="s">
        <v>468</v>
      </c>
      <c r="D468" s="105" t="s">
        <v>380</v>
      </c>
      <c r="E468" s="105" t="s">
        <v>328</v>
      </c>
      <c r="F468" s="105">
        <v>2011</v>
      </c>
      <c r="G468" s="105">
        <v>1</v>
      </c>
      <c r="H468" s="105">
        <v>0</v>
      </c>
      <c r="I468" s="105" t="str">
        <f>IF(H468=1,B468,"")</f>
        <v/>
      </c>
      <c r="J468" s="105"/>
      <c r="K468" s="105">
        <v>2003</v>
      </c>
      <c r="L468" s="105">
        <v>1</v>
      </c>
      <c r="M468" s="105">
        <v>0</v>
      </c>
    </row>
    <row r="469" spans="1:13" ht="15.75" customHeight="1" x14ac:dyDescent="0.2">
      <c r="A469">
        <f t="shared" si="15"/>
        <v>1</v>
      </c>
      <c r="B469" t="s">
        <v>121</v>
      </c>
      <c r="C469" t="s">
        <v>95</v>
      </c>
      <c r="D469" t="s">
        <v>151</v>
      </c>
      <c r="E469">
        <v>1</v>
      </c>
      <c r="F469">
        <v>1995</v>
      </c>
      <c r="G469">
        <v>1</v>
      </c>
      <c r="H469">
        <v>1</v>
      </c>
      <c r="I469" t="str">
        <f>IF(H469=1,B469,"")</f>
        <v>Mozambique</v>
      </c>
      <c r="K469">
        <v>1995</v>
      </c>
      <c r="L469">
        <v>6</v>
      </c>
      <c r="M469">
        <v>1</v>
      </c>
    </row>
    <row r="470" spans="1:13" ht="15.75" customHeight="1" x14ac:dyDescent="0.2">
      <c r="A470">
        <f t="shared" si="15"/>
        <v>1</v>
      </c>
      <c r="B470" t="s">
        <v>121</v>
      </c>
      <c r="C470" t="s">
        <v>95</v>
      </c>
      <c r="D470" t="s">
        <v>281</v>
      </c>
      <c r="E470" t="s">
        <v>250</v>
      </c>
      <c r="F470">
        <v>1997</v>
      </c>
      <c r="G470">
        <v>1</v>
      </c>
      <c r="H470">
        <v>1</v>
      </c>
      <c r="I470" t="str">
        <f>IF(H470=1,B470,"")</f>
        <v>Mozambique</v>
      </c>
      <c r="L470">
        <v>6</v>
      </c>
      <c r="M470">
        <v>0</v>
      </c>
    </row>
    <row r="471" spans="1:13" ht="15.75" customHeight="1" x14ac:dyDescent="0.2">
      <c r="A471">
        <f t="shared" si="15"/>
        <v>1</v>
      </c>
      <c r="B471" t="s">
        <v>121</v>
      </c>
      <c r="C471" t="s">
        <v>95</v>
      </c>
      <c r="D471" t="s">
        <v>304</v>
      </c>
      <c r="E471" t="s">
        <v>304</v>
      </c>
      <c r="F471">
        <v>2001</v>
      </c>
      <c r="G471">
        <v>1</v>
      </c>
      <c r="H471">
        <v>1</v>
      </c>
      <c r="I471" t="str">
        <f>IF(H471=1,B471,"")</f>
        <v>Mozambique</v>
      </c>
      <c r="K471">
        <v>2000</v>
      </c>
      <c r="L471">
        <v>5</v>
      </c>
      <c r="M471">
        <v>0</v>
      </c>
    </row>
    <row r="472" spans="1:13" ht="15.75" customHeight="1" x14ac:dyDescent="0.2">
      <c r="A472">
        <f t="shared" si="15"/>
        <v>1</v>
      </c>
      <c r="B472" t="s">
        <v>121</v>
      </c>
      <c r="C472" t="s">
        <v>95</v>
      </c>
      <c r="D472" t="s">
        <v>281</v>
      </c>
      <c r="E472" t="s">
        <v>256</v>
      </c>
      <c r="F472">
        <v>2003</v>
      </c>
      <c r="G472">
        <v>1</v>
      </c>
      <c r="H472">
        <v>0</v>
      </c>
      <c r="L472">
        <v>4</v>
      </c>
      <c r="M472">
        <v>0</v>
      </c>
    </row>
    <row r="473" spans="1:13" ht="15.75" customHeight="1" x14ac:dyDescent="0.2">
      <c r="A473">
        <f t="shared" si="15"/>
        <v>1</v>
      </c>
      <c r="B473" t="s">
        <v>121</v>
      </c>
      <c r="C473" t="s">
        <v>95</v>
      </c>
      <c r="D473" t="s">
        <v>151</v>
      </c>
      <c r="E473">
        <v>3</v>
      </c>
      <c r="F473">
        <v>2008</v>
      </c>
      <c r="G473">
        <v>1</v>
      </c>
      <c r="H473">
        <v>0</v>
      </c>
      <c r="I473" t="str">
        <f>IF(H473=1,B473,"")</f>
        <v/>
      </c>
      <c r="K473">
        <v>2008</v>
      </c>
      <c r="L473">
        <v>3</v>
      </c>
      <c r="M473">
        <v>0</v>
      </c>
    </row>
    <row r="474" spans="1:13" ht="15.75" customHeight="1" x14ac:dyDescent="0.2">
      <c r="A474">
        <f t="shared" si="15"/>
        <v>1</v>
      </c>
      <c r="B474" t="s">
        <v>121</v>
      </c>
      <c r="C474" t="s">
        <v>95</v>
      </c>
      <c r="D474" t="s">
        <v>281</v>
      </c>
      <c r="E474" t="s">
        <v>250</v>
      </c>
      <c r="F474">
        <v>2009</v>
      </c>
      <c r="G474">
        <v>1</v>
      </c>
      <c r="H474">
        <v>0</v>
      </c>
      <c r="L474">
        <v>2</v>
      </c>
      <c r="M474">
        <v>0</v>
      </c>
    </row>
    <row r="475" spans="1:13" ht="15.75" customHeight="1" x14ac:dyDescent="0.2">
      <c r="A475">
        <f t="shared" si="15"/>
        <v>0</v>
      </c>
      <c r="B475" t="s">
        <v>121</v>
      </c>
      <c r="C475" t="s">
        <v>95</v>
      </c>
      <c r="D475" t="s">
        <v>281</v>
      </c>
      <c r="E475" t="s">
        <v>250</v>
      </c>
      <c r="F475">
        <v>2011</v>
      </c>
      <c r="G475">
        <v>1</v>
      </c>
      <c r="H475">
        <v>0</v>
      </c>
      <c r="L475">
        <v>1</v>
      </c>
      <c r="M475">
        <v>0</v>
      </c>
    </row>
    <row r="476" spans="1:13" ht="15.75" customHeight="1" x14ac:dyDescent="0.2">
      <c r="A476">
        <f t="shared" si="15"/>
        <v>1</v>
      </c>
      <c r="B476" t="s">
        <v>162</v>
      </c>
      <c r="C476" t="s">
        <v>158</v>
      </c>
      <c r="D476" t="s">
        <v>151</v>
      </c>
      <c r="E476">
        <v>1</v>
      </c>
      <c r="F476">
        <v>1995</v>
      </c>
      <c r="G476">
        <v>1</v>
      </c>
      <c r="H476">
        <v>1</v>
      </c>
      <c r="I476" t="str">
        <f>IF(H476=1,B476,"")</f>
        <v>Myanmar</v>
      </c>
      <c r="K476">
        <v>1995</v>
      </c>
      <c r="L476">
        <v>3</v>
      </c>
      <c r="M476">
        <v>1</v>
      </c>
    </row>
    <row r="477" spans="1:13" ht="15.75" customHeight="1" x14ac:dyDescent="0.2">
      <c r="A477">
        <f t="shared" si="15"/>
        <v>1</v>
      </c>
      <c r="B477" t="s">
        <v>162</v>
      </c>
      <c r="C477" t="s">
        <v>158</v>
      </c>
      <c r="D477" t="s">
        <v>151</v>
      </c>
      <c r="E477">
        <v>2</v>
      </c>
      <c r="F477">
        <v>2000</v>
      </c>
      <c r="G477">
        <v>1</v>
      </c>
      <c r="H477">
        <v>0</v>
      </c>
      <c r="I477" t="str">
        <f>IF(H477=1,B477,"")</f>
        <v/>
      </c>
      <c r="K477">
        <v>2000</v>
      </c>
      <c r="L477">
        <v>2</v>
      </c>
      <c r="M477">
        <v>0</v>
      </c>
    </row>
    <row r="478" spans="1:13" ht="15.75" customHeight="1" x14ac:dyDescent="0.2">
      <c r="A478">
        <f t="shared" si="15"/>
        <v>0</v>
      </c>
      <c r="B478" t="s">
        <v>162</v>
      </c>
      <c r="C478" t="s">
        <v>158</v>
      </c>
      <c r="D478" t="s">
        <v>151</v>
      </c>
      <c r="E478">
        <v>3</v>
      </c>
      <c r="F478">
        <v>2010</v>
      </c>
      <c r="G478">
        <v>1</v>
      </c>
      <c r="H478">
        <v>0</v>
      </c>
      <c r="I478" t="str">
        <f>IF(H478=1,B478,"")</f>
        <v/>
      </c>
      <c r="K478">
        <v>2009</v>
      </c>
      <c r="L478">
        <v>1</v>
      </c>
      <c r="M478">
        <v>0</v>
      </c>
    </row>
    <row r="479" spans="1:13" ht="15.75" customHeight="1" x14ac:dyDescent="0.2">
      <c r="A479">
        <f t="shared" si="15"/>
        <v>1</v>
      </c>
      <c r="B479" t="s">
        <v>122</v>
      </c>
      <c r="C479" t="s">
        <v>95</v>
      </c>
      <c r="D479" t="s">
        <v>281</v>
      </c>
      <c r="E479" t="s">
        <v>250</v>
      </c>
      <c r="F479">
        <v>1992</v>
      </c>
      <c r="G479">
        <v>1</v>
      </c>
      <c r="H479">
        <v>1</v>
      </c>
      <c r="I479" t="str">
        <f>IF(H479=1,B479,"")</f>
        <v>Namibia</v>
      </c>
      <c r="L479">
        <v>5</v>
      </c>
      <c r="M479">
        <v>1</v>
      </c>
    </row>
    <row r="480" spans="1:13" ht="15.75" customHeight="1" x14ac:dyDescent="0.2">
      <c r="A480">
        <f t="shared" si="15"/>
        <v>1</v>
      </c>
      <c r="B480" t="s">
        <v>122</v>
      </c>
      <c r="C480" t="s">
        <v>95</v>
      </c>
      <c r="D480" t="s">
        <v>281</v>
      </c>
      <c r="E480" t="s">
        <v>250</v>
      </c>
      <c r="F480">
        <v>2000</v>
      </c>
      <c r="G480">
        <v>1</v>
      </c>
      <c r="H480">
        <v>0</v>
      </c>
      <c r="L480">
        <v>4</v>
      </c>
      <c r="M480">
        <v>0</v>
      </c>
    </row>
    <row r="481" spans="1:13" ht="15.75" customHeight="1" x14ac:dyDescent="0.2">
      <c r="A481">
        <f t="shared" si="15"/>
        <v>1</v>
      </c>
      <c r="B481" t="s">
        <v>122</v>
      </c>
      <c r="C481" t="s">
        <v>95</v>
      </c>
      <c r="D481" t="s">
        <v>281</v>
      </c>
      <c r="E481" t="s">
        <v>253</v>
      </c>
      <c r="F481">
        <v>2006</v>
      </c>
      <c r="G481">
        <v>1</v>
      </c>
      <c r="H481">
        <v>0</v>
      </c>
      <c r="L481">
        <v>3</v>
      </c>
      <c r="M481">
        <v>0</v>
      </c>
    </row>
    <row r="482" spans="1:13" ht="15.75" customHeight="1" x14ac:dyDescent="0.2">
      <c r="A482">
        <f t="shared" si="15"/>
        <v>1</v>
      </c>
      <c r="B482" t="s">
        <v>122</v>
      </c>
      <c r="C482" t="s">
        <v>95</v>
      </c>
      <c r="D482" t="s">
        <v>281</v>
      </c>
      <c r="E482" t="s">
        <v>256</v>
      </c>
      <c r="F482">
        <v>2009</v>
      </c>
      <c r="G482">
        <v>1</v>
      </c>
      <c r="H482">
        <v>0</v>
      </c>
      <c r="L482">
        <v>2</v>
      </c>
      <c r="M482">
        <v>0</v>
      </c>
    </row>
    <row r="483" spans="1:13" ht="15.75" customHeight="1" x14ac:dyDescent="0.2">
      <c r="A483">
        <f t="shared" si="15"/>
        <v>0</v>
      </c>
      <c r="B483" s="105" t="s">
        <v>122</v>
      </c>
      <c r="C483" s="105" t="s">
        <v>95</v>
      </c>
      <c r="D483" s="105" t="s">
        <v>281</v>
      </c>
      <c r="E483" s="105" t="s">
        <v>255</v>
      </c>
      <c r="F483" s="105">
        <v>2013</v>
      </c>
      <c r="G483" s="105">
        <v>1</v>
      </c>
      <c r="H483" s="105">
        <v>0</v>
      </c>
      <c r="I483" s="105"/>
      <c r="J483" s="105"/>
      <c r="K483" s="105"/>
      <c r="L483" s="105">
        <v>1</v>
      </c>
      <c r="M483" s="105">
        <v>0</v>
      </c>
    </row>
    <row r="484" spans="1:13" ht="15.75" customHeight="1" x14ac:dyDescent="0.2">
      <c r="A484">
        <f t="shared" si="15"/>
        <v>1</v>
      </c>
      <c r="B484" t="s">
        <v>91</v>
      </c>
      <c r="C484" t="s">
        <v>87</v>
      </c>
      <c r="D484" t="s">
        <v>281</v>
      </c>
      <c r="E484" t="s">
        <v>250</v>
      </c>
      <c r="F484">
        <v>1987</v>
      </c>
      <c r="G484">
        <v>1</v>
      </c>
      <c r="H484">
        <v>1</v>
      </c>
      <c r="I484" t="str">
        <f>IF(H484=1,B484,"")</f>
        <v>Nepal</v>
      </c>
      <c r="L484">
        <v>9</v>
      </c>
      <c r="M484">
        <v>1</v>
      </c>
    </row>
    <row r="485" spans="1:13" x14ac:dyDescent="0.2">
      <c r="A485">
        <f t="shared" si="15"/>
        <v>1</v>
      </c>
      <c r="B485" t="s">
        <v>91</v>
      </c>
      <c r="C485" t="s">
        <v>87</v>
      </c>
      <c r="D485" t="s">
        <v>281</v>
      </c>
      <c r="E485" t="s">
        <v>258</v>
      </c>
      <c r="F485">
        <v>1996</v>
      </c>
      <c r="G485">
        <v>1</v>
      </c>
      <c r="H485">
        <v>0</v>
      </c>
      <c r="L485">
        <v>8</v>
      </c>
      <c r="M485">
        <v>0</v>
      </c>
    </row>
    <row r="486" spans="1:13" ht="15.75" customHeight="1" x14ac:dyDescent="0.2">
      <c r="A486">
        <f t="shared" si="15"/>
        <v>1</v>
      </c>
      <c r="B486" t="s">
        <v>91</v>
      </c>
      <c r="C486" t="s">
        <v>87</v>
      </c>
      <c r="D486" t="s">
        <v>244</v>
      </c>
      <c r="E486" t="s">
        <v>215</v>
      </c>
      <c r="F486">
        <v>1996</v>
      </c>
      <c r="G486">
        <v>1</v>
      </c>
      <c r="H486">
        <v>1</v>
      </c>
      <c r="I486" t="str">
        <f>IF(H486=1,B486,"")</f>
        <v>Nepal</v>
      </c>
      <c r="L486">
        <v>7</v>
      </c>
      <c r="M486">
        <v>0</v>
      </c>
    </row>
    <row r="487" spans="1:13" ht="15.75" customHeight="1" x14ac:dyDescent="0.2">
      <c r="A487">
        <f t="shared" si="15"/>
        <v>1</v>
      </c>
      <c r="B487" t="s">
        <v>91</v>
      </c>
      <c r="C487" t="s">
        <v>87</v>
      </c>
      <c r="D487" t="s">
        <v>281</v>
      </c>
      <c r="E487" t="s">
        <v>250</v>
      </c>
      <c r="F487">
        <v>2001</v>
      </c>
      <c r="G487">
        <v>1</v>
      </c>
      <c r="H487">
        <v>0</v>
      </c>
      <c r="L487">
        <v>6</v>
      </c>
      <c r="M487">
        <v>0</v>
      </c>
    </row>
    <row r="488" spans="1:13" ht="15.75" customHeight="1" x14ac:dyDescent="0.2">
      <c r="A488">
        <f t="shared" si="15"/>
        <v>1</v>
      </c>
      <c r="B488" t="s">
        <v>91</v>
      </c>
      <c r="C488" t="s">
        <v>87</v>
      </c>
      <c r="D488" t="s">
        <v>244</v>
      </c>
      <c r="E488" t="s">
        <v>215</v>
      </c>
      <c r="F488">
        <v>2003</v>
      </c>
      <c r="G488">
        <v>1</v>
      </c>
      <c r="H488">
        <v>0</v>
      </c>
      <c r="L488">
        <v>5</v>
      </c>
      <c r="M488">
        <v>0</v>
      </c>
    </row>
    <row r="489" spans="1:13" ht="15.75" customHeight="1" x14ac:dyDescent="0.2">
      <c r="A489">
        <f t="shared" si="15"/>
        <v>1</v>
      </c>
      <c r="B489" t="s">
        <v>91</v>
      </c>
      <c r="C489" t="s">
        <v>87</v>
      </c>
      <c r="D489" t="s">
        <v>281</v>
      </c>
      <c r="E489" t="s">
        <v>250</v>
      </c>
      <c r="F489">
        <v>2006</v>
      </c>
      <c r="G489">
        <v>1</v>
      </c>
      <c r="H489">
        <v>0</v>
      </c>
      <c r="L489">
        <v>4</v>
      </c>
      <c r="M489">
        <v>0</v>
      </c>
    </row>
    <row r="490" spans="1:13" ht="15.75" customHeight="1" x14ac:dyDescent="0.2">
      <c r="A490">
        <f t="shared" si="15"/>
        <v>1</v>
      </c>
      <c r="B490" t="s">
        <v>91</v>
      </c>
      <c r="C490" t="s">
        <v>87</v>
      </c>
      <c r="D490" t="s">
        <v>244</v>
      </c>
      <c r="E490" t="s">
        <v>215</v>
      </c>
      <c r="F490">
        <v>2010</v>
      </c>
      <c r="G490">
        <v>1</v>
      </c>
      <c r="H490">
        <v>0</v>
      </c>
      <c r="L490">
        <v>3</v>
      </c>
      <c r="M490">
        <v>0</v>
      </c>
    </row>
    <row r="491" spans="1:13" ht="15.75" customHeight="1" x14ac:dyDescent="0.2">
      <c r="A491">
        <f t="shared" si="15"/>
        <v>1</v>
      </c>
      <c r="B491" t="s">
        <v>91</v>
      </c>
      <c r="C491" t="s">
        <v>87</v>
      </c>
      <c r="D491" t="s">
        <v>151</v>
      </c>
      <c r="E491">
        <v>4</v>
      </c>
      <c r="F491">
        <v>2010</v>
      </c>
      <c r="G491">
        <v>1</v>
      </c>
      <c r="H491">
        <v>1</v>
      </c>
      <c r="I491" t="str">
        <f>IF(H491=1,B491,"")</f>
        <v>Nepal</v>
      </c>
      <c r="J491" t="s">
        <v>195</v>
      </c>
      <c r="K491">
        <v>2010</v>
      </c>
      <c r="L491">
        <v>2</v>
      </c>
      <c r="M491">
        <v>0</v>
      </c>
    </row>
    <row r="492" spans="1:13" ht="15.75" customHeight="1" x14ac:dyDescent="0.2">
      <c r="A492">
        <f t="shared" si="15"/>
        <v>0</v>
      </c>
      <c r="B492" t="s">
        <v>91</v>
      </c>
      <c r="C492" t="s">
        <v>87</v>
      </c>
      <c r="D492" t="s">
        <v>281</v>
      </c>
      <c r="E492" t="s">
        <v>250</v>
      </c>
      <c r="F492">
        <v>2011</v>
      </c>
      <c r="G492">
        <v>1</v>
      </c>
      <c r="H492">
        <v>0</v>
      </c>
      <c r="L492">
        <v>1</v>
      </c>
      <c r="M492">
        <v>0</v>
      </c>
    </row>
    <row r="493" spans="1:13" ht="15.75" customHeight="1" x14ac:dyDescent="0.2">
      <c r="A493">
        <f t="shared" si="15"/>
        <v>1</v>
      </c>
      <c r="B493" t="s">
        <v>65</v>
      </c>
      <c r="C493" t="s">
        <v>469</v>
      </c>
      <c r="D493" t="s">
        <v>244</v>
      </c>
      <c r="E493" t="s">
        <v>222</v>
      </c>
      <c r="F493">
        <v>1993</v>
      </c>
      <c r="G493">
        <v>1</v>
      </c>
      <c r="H493">
        <v>1</v>
      </c>
      <c r="I493" t="str">
        <f>IF(H493=1,B493,"")</f>
        <v>Nicaragua</v>
      </c>
      <c r="L493">
        <v>9</v>
      </c>
      <c r="M493">
        <v>1</v>
      </c>
    </row>
    <row r="494" spans="1:13" ht="15.75" customHeight="1" x14ac:dyDescent="0.2">
      <c r="A494">
        <f t="shared" si="15"/>
        <v>1</v>
      </c>
      <c r="B494" t="s">
        <v>65</v>
      </c>
      <c r="C494" t="s">
        <v>469</v>
      </c>
      <c r="D494" t="s">
        <v>281</v>
      </c>
      <c r="E494" t="s">
        <v>250</v>
      </c>
      <c r="F494">
        <v>1998</v>
      </c>
      <c r="G494">
        <v>1</v>
      </c>
      <c r="H494">
        <v>1</v>
      </c>
      <c r="I494" t="str">
        <f>IF(H494=1,B494,"")</f>
        <v>Nicaragua</v>
      </c>
      <c r="L494">
        <v>8</v>
      </c>
      <c r="M494">
        <v>0</v>
      </c>
    </row>
    <row r="495" spans="1:13" ht="15.75" customHeight="1" x14ac:dyDescent="0.2">
      <c r="A495">
        <f t="shared" si="15"/>
        <v>1</v>
      </c>
      <c r="B495" t="s">
        <v>65</v>
      </c>
      <c r="C495" t="s">
        <v>469</v>
      </c>
      <c r="D495" t="s">
        <v>244</v>
      </c>
      <c r="E495" t="s">
        <v>222</v>
      </c>
      <c r="F495">
        <v>1998</v>
      </c>
      <c r="G495">
        <v>1</v>
      </c>
      <c r="H495">
        <v>0</v>
      </c>
      <c r="L495">
        <v>7</v>
      </c>
      <c r="M495">
        <v>0</v>
      </c>
    </row>
    <row r="496" spans="1:13" ht="15.75" customHeight="1" x14ac:dyDescent="0.2">
      <c r="A496">
        <f t="shared" si="15"/>
        <v>1</v>
      </c>
      <c r="B496" t="s">
        <v>65</v>
      </c>
      <c r="C496" t="s">
        <v>469</v>
      </c>
      <c r="D496" t="s">
        <v>244</v>
      </c>
      <c r="E496" t="s">
        <v>222</v>
      </c>
      <c r="F496">
        <v>1999</v>
      </c>
      <c r="G496">
        <v>1</v>
      </c>
      <c r="H496">
        <v>0</v>
      </c>
      <c r="L496">
        <v>6</v>
      </c>
      <c r="M496">
        <v>0</v>
      </c>
    </row>
    <row r="497" spans="1:13" ht="15.75" customHeight="1" x14ac:dyDescent="0.2">
      <c r="A497">
        <f t="shared" si="15"/>
        <v>1</v>
      </c>
      <c r="B497" t="s">
        <v>65</v>
      </c>
      <c r="C497" t="s">
        <v>469</v>
      </c>
      <c r="D497" t="s">
        <v>281</v>
      </c>
      <c r="E497" t="s">
        <v>250</v>
      </c>
      <c r="F497">
        <v>2001</v>
      </c>
      <c r="G497">
        <v>1</v>
      </c>
      <c r="H497">
        <v>0</v>
      </c>
      <c r="L497">
        <v>5</v>
      </c>
      <c r="M497">
        <v>0</v>
      </c>
    </row>
    <row r="498" spans="1:13" ht="15.75" customHeight="1" x14ac:dyDescent="0.2">
      <c r="A498">
        <f t="shared" si="15"/>
        <v>1</v>
      </c>
      <c r="B498" t="s">
        <v>65</v>
      </c>
      <c r="C498" t="s">
        <v>469</v>
      </c>
      <c r="D498" t="s">
        <v>244</v>
      </c>
      <c r="E498" t="s">
        <v>222</v>
      </c>
      <c r="F498">
        <v>2001</v>
      </c>
      <c r="G498">
        <v>1</v>
      </c>
      <c r="H498">
        <v>0</v>
      </c>
      <c r="L498">
        <v>4</v>
      </c>
      <c r="M498">
        <v>0</v>
      </c>
    </row>
    <row r="499" spans="1:13" ht="15.75" customHeight="1" x14ac:dyDescent="0.2">
      <c r="A499">
        <f t="shared" si="15"/>
        <v>1</v>
      </c>
      <c r="B499" t="s">
        <v>65</v>
      </c>
      <c r="C499" t="s">
        <v>469</v>
      </c>
      <c r="D499" t="s">
        <v>244</v>
      </c>
      <c r="E499" t="s">
        <v>223</v>
      </c>
      <c r="F499">
        <v>2005</v>
      </c>
      <c r="G499">
        <v>1</v>
      </c>
      <c r="H499">
        <v>0</v>
      </c>
      <c r="L499">
        <v>3</v>
      </c>
      <c r="M499">
        <v>0</v>
      </c>
    </row>
    <row r="500" spans="1:13" ht="15.75" customHeight="1" x14ac:dyDescent="0.2">
      <c r="A500">
        <f t="shared" si="15"/>
        <v>1</v>
      </c>
      <c r="B500" t="s">
        <v>65</v>
      </c>
      <c r="C500" t="s">
        <v>469</v>
      </c>
      <c r="D500" t="s">
        <v>281</v>
      </c>
      <c r="E500" t="s">
        <v>250</v>
      </c>
      <c r="F500">
        <v>2006</v>
      </c>
      <c r="G500">
        <v>1</v>
      </c>
      <c r="H500">
        <v>0</v>
      </c>
      <c r="L500">
        <v>2</v>
      </c>
      <c r="M500">
        <v>0</v>
      </c>
    </row>
    <row r="501" spans="1:13" x14ac:dyDescent="0.2">
      <c r="A501">
        <f t="shared" si="15"/>
        <v>0</v>
      </c>
      <c r="B501" t="s">
        <v>65</v>
      </c>
      <c r="C501" t="s">
        <v>469</v>
      </c>
      <c r="D501" t="s">
        <v>281</v>
      </c>
      <c r="E501" t="s">
        <v>250</v>
      </c>
      <c r="F501">
        <v>2012</v>
      </c>
      <c r="G501">
        <v>1</v>
      </c>
      <c r="H501">
        <v>0</v>
      </c>
      <c r="K501">
        <v>2011</v>
      </c>
      <c r="L501">
        <v>1</v>
      </c>
      <c r="M501">
        <v>0</v>
      </c>
    </row>
    <row r="502" spans="1:13" ht="15.75" customHeight="1" x14ac:dyDescent="0.2">
      <c r="A502">
        <f t="shared" si="15"/>
        <v>1</v>
      </c>
      <c r="B502" t="s">
        <v>123</v>
      </c>
      <c r="C502" t="s">
        <v>95</v>
      </c>
      <c r="D502" t="s">
        <v>281</v>
      </c>
      <c r="E502" t="s">
        <v>250</v>
      </c>
      <c r="F502">
        <v>1992</v>
      </c>
      <c r="G502">
        <v>1</v>
      </c>
      <c r="H502">
        <v>1</v>
      </c>
      <c r="I502" t="str">
        <f>IF(H502=1,B502,"")</f>
        <v>Niger</v>
      </c>
      <c r="L502">
        <v>8</v>
      </c>
      <c r="M502">
        <v>1</v>
      </c>
    </row>
    <row r="503" spans="1:13" ht="15.75" customHeight="1" x14ac:dyDescent="0.2">
      <c r="A503">
        <f t="shared" si="15"/>
        <v>1</v>
      </c>
      <c r="B503" t="s">
        <v>123</v>
      </c>
      <c r="C503" t="s">
        <v>95</v>
      </c>
      <c r="D503" t="s">
        <v>151</v>
      </c>
      <c r="E503">
        <v>1</v>
      </c>
      <c r="F503">
        <v>1995</v>
      </c>
      <c r="G503">
        <v>1</v>
      </c>
      <c r="H503">
        <v>1</v>
      </c>
      <c r="I503" t="str">
        <f>IF(H503=1,B503,"")</f>
        <v>Niger</v>
      </c>
      <c r="K503">
        <v>1995</v>
      </c>
      <c r="L503">
        <v>7</v>
      </c>
      <c r="M503">
        <v>0</v>
      </c>
    </row>
    <row r="504" spans="1:13" ht="15.75" customHeight="1" x14ac:dyDescent="0.2">
      <c r="A504">
        <f t="shared" si="15"/>
        <v>1</v>
      </c>
      <c r="B504" t="s">
        <v>123</v>
      </c>
      <c r="C504" t="s">
        <v>95</v>
      </c>
      <c r="D504" t="s">
        <v>281</v>
      </c>
      <c r="E504" t="s">
        <v>250</v>
      </c>
      <c r="F504">
        <v>1998</v>
      </c>
      <c r="G504">
        <v>1</v>
      </c>
      <c r="H504">
        <v>0</v>
      </c>
      <c r="L504">
        <v>6</v>
      </c>
      <c r="M504">
        <v>0</v>
      </c>
    </row>
    <row r="505" spans="1:13" ht="15.75" customHeight="1" x14ac:dyDescent="0.2">
      <c r="A505">
        <f t="shared" si="15"/>
        <v>1</v>
      </c>
      <c r="B505" t="s">
        <v>123</v>
      </c>
      <c r="C505" t="s">
        <v>95</v>
      </c>
      <c r="D505" t="s">
        <v>151</v>
      </c>
      <c r="E505">
        <v>2</v>
      </c>
      <c r="F505">
        <v>2000</v>
      </c>
      <c r="G505">
        <v>1</v>
      </c>
      <c r="H505">
        <v>0</v>
      </c>
      <c r="I505" t="str">
        <f>IF(H505=1,B505,"")</f>
        <v/>
      </c>
      <c r="K505">
        <v>2000</v>
      </c>
      <c r="L505">
        <v>5</v>
      </c>
      <c r="M505">
        <v>0</v>
      </c>
    </row>
    <row r="506" spans="1:13" ht="15.75" customHeight="1" x14ac:dyDescent="0.2">
      <c r="A506">
        <f t="shared" si="15"/>
        <v>1</v>
      </c>
      <c r="B506" t="s">
        <v>123</v>
      </c>
      <c r="C506" t="s">
        <v>95</v>
      </c>
      <c r="D506" t="s">
        <v>281</v>
      </c>
      <c r="E506" t="s">
        <v>250</v>
      </c>
      <c r="F506">
        <v>2006</v>
      </c>
      <c r="G506">
        <v>1</v>
      </c>
      <c r="H506">
        <v>0</v>
      </c>
      <c r="L506">
        <v>4</v>
      </c>
      <c r="M506">
        <v>0</v>
      </c>
    </row>
    <row r="507" spans="1:13" ht="15.75" customHeight="1" x14ac:dyDescent="0.2">
      <c r="A507">
        <f t="shared" si="15"/>
        <v>1</v>
      </c>
      <c r="B507" t="s">
        <v>123</v>
      </c>
      <c r="C507" t="s">
        <v>95</v>
      </c>
      <c r="D507" t="s">
        <v>244</v>
      </c>
      <c r="E507" t="s">
        <v>224</v>
      </c>
      <c r="F507">
        <v>2010</v>
      </c>
      <c r="G507">
        <v>1</v>
      </c>
      <c r="H507">
        <v>1</v>
      </c>
      <c r="I507" t="str">
        <f>IF(H507=1,B507,"")</f>
        <v>Niger</v>
      </c>
      <c r="L507">
        <v>3</v>
      </c>
      <c r="M507">
        <v>0</v>
      </c>
    </row>
    <row r="508" spans="1:13" ht="15.75" customHeight="1" x14ac:dyDescent="0.2">
      <c r="A508">
        <f t="shared" si="15"/>
        <v>1</v>
      </c>
      <c r="B508" t="s">
        <v>123</v>
      </c>
      <c r="C508" t="s">
        <v>95</v>
      </c>
      <c r="D508" t="s">
        <v>281</v>
      </c>
      <c r="E508" t="s">
        <v>258</v>
      </c>
      <c r="F508">
        <v>2012</v>
      </c>
      <c r="G508">
        <v>1</v>
      </c>
      <c r="H508">
        <v>0</v>
      </c>
      <c r="L508">
        <v>2</v>
      </c>
      <c r="M508">
        <v>0</v>
      </c>
    </row>
    <row r="509" spans="1:13" ht="15.75" customHeight="1" x14ac:dyDescent="0.2">
      <c r="A509">
        <f t="shared" si="15"/>
        <v>0</v>
      </c>
      <c r="B509" s="97" t="s">
        <v>123</v>
      </c>
      <c r="C509" s="97" t="s">
        <v>174</v>
      </c>
      <c r="D509" s="97" t="s">
        <v>244</v>
      </c>
      <c r="E509" s="97" t="s">
        <v>489</v>
      </c>
      <c r="F509" s="100">
        <v>2011</v>
      </c>
      <c r="G509" s="97">
        <v>1</v>
      </c>
      <c r="H509" s="97">
        <v>0</v>
      </c>
      <c r="I509" s="97"/>
      <c r="J509" s="97"/>
      <c r="K509" s="97"/>
      <c r="L509" s="97">
        <v>1</v>
      </c>
      <c r="M509">
        <v>0</v>
      </c>
    </row>
    <row r="510" spans="1:13" ht="15.75" customHeight="1" x14ac:dyDescent="0.2">
      <c r="A510">
        <f t="shared" si="15"/>
        <v>1</v>
      </c>
      <c r="B510" t="s">
        <v>124</v>
      </c>
      <c r="C510" t="s">
        <v>95</v>
      </c>
      <c r="D510" t="s">
        <v>281</v>
      </c>
      <c r="E510" t="s">
        <v>253</v>
      </c>
      <c r="F510">
        <v>1986</v>
      </c>
      <c r="G510">
        <v>1</v>
      </c>
      <c r="H510">
        <v>1</v>
      </c>
      <c r="I510" t="str">
        <f>IF(H510=1,B510,"")</f>
        <v>Nigeria</v>
      </c>
      <c r="L510">
        <v>12</v>
      </c>
      <c r="M510">
        <v>1</v>
      </c>
    </row>
    <row r="511" spans="1:13" ht="15.75" customHeight="1" x14ac:dyDescent="0.2">
      <c r="A511">
        <f t="shared" si="15"/>
        <v>1</v>
      </c>
      <c r="B511" t="s">
        <v>124</v>
      </c>
      <c r="C511" t="s">
        <v>95</v>
      </c>
      <c r="D511" t="s">
        <v>281</v>
      </c>
      <c r="E511" t="s">
        <v>250</v>
      </c>
      <c r="F511">
        <v>1990</v>
      </c>
      <c r="G511">
        <v>1</v>
      </c>
      <c r="H511">
        <v>0</v>
      </c>
      <c r="L511">
        <v>11</v>
      </c>
      <c r="M511">
        <v>0</v>
      </c>
    </row>
    <row r="512" spans="1:13" ht="15.75" customHeight="1" x14ac:dyDescent="0.2">
      <c r="A512">
        <f t="shared" si="15"/>
        <v>1</v>
      </c>
      <c r="B512" t="s">
        <v>124</v>
      </c>
      <c r="C512" t="s">
        <v>95</v>
      </c>
      <c r="D512" t="s">
        <v>281</v>
      </c>
      <c r="E512" t="s">
        <v>259</v>
      </c>
      <c r="F512">
        <v>1999</v>
      </c>
      <c r="G512">
        <v>1</v>
      </c>
      <c r="H512">
        <v>0</v>
      </c>
      <c r="L512">
        <v>10</v>
      </c>
      <c r="M512">
        <v>0</v>
      </c>
    </row>
    <row r="513" spans="1:13" ht="15.75" customHeight="1" x14ac:dyDescent="0.2">
      <c r="A513">
        <f t="shared" si="15"/>
        <v>1</v>
      </c>
      <c r="B513" t="s">
        <v>124</v>
      </c>
      <c r="C513" t="s">
        <v>95</v>
      </c>
      <c r="D513" t="s">
        <v>281</v>
      </c>
      <c r="E513" t="s">
        <v>250</v>
      </c>
      <c r="F513">
        <v>2003</v>
      </c>
      <c r="G513">
        <v>1</v>
      </c>
      <c r="H513">
        <v>0</v>
      </c>
      <c r="L513">
        <v>9</v>
      </c>
      <c r="M513">
        <v>0</v>
      </c>
    </row>
    <row r="514" spans="1:13" ht="15.75" customHeight="1" x14ac:dyDescent="0.2">
      <c r="A514">
        <f t="shared" si="15"/>
        <v>1</v>
      </c>
      <c r="B514" t="s">
        <v>124</v>
      </c>
      <c r="C514" t="s">
        <v>95</v>
      </c>
      <c r="D514" t="s">
        <v>244</v>
      </c>
      <c r="E514" t="s">
        <v>215</v>
      </c>
      <c r="F514">
        <v>2003</v>
      </c>
      <c r="G514">
        <v>1</v>
      </c>
      <c r="H514">
        <v>1</v>
      </c>
      <c r="I514" t="str">
        <f>IF(H514=1,B514,"")</f>
        <v>Nigeria</v>
      </c>
      <c r="L514">
        <v>5</v>
      </c>
      <c r="M514">
        <v>0</v>
      </c>
    </row>
    <row r="515" spans="1:13" x14ac:dyDescent="0.2">
      <c r="A515">
        <f t="shared" si="15"/>
        <v>1</v>
      </c>
      <c r="B515" t="s">
        <v>124</v>
      </c>
      <c r="C515" t="s">
        <v>95</v>
      </c>
      <c r="D515" t="s">
        <v>304</v>
      </c>
      <c r="E515" t="s">
        <v>304</v>
      </c>
      <c r="F515">
        <v>2006</v>
      </c>
      <c r="G515">
        <v>1</v>
      </c>
      <c r="H515">
        <v>1</v>
      </c>
      <c r="I515" t="str">
        <f>IF(H515=1,B515,"")</f>
        <v>Nigeria</v>
      </c>
      <c r="L515">
        <v>8</v>
      </c>
      <c r="M515">
        <v>0</v>
      </c>
    </row>
    <row r="516" spans="1:13" ht="15.75" customHeight="1" x14ac:dyDescent="0.2">
      <c r="A516">
        <f t="shared" si="15"/>
        <v>1</v>
      </c>
      <c r="B516" t="s">
        <v>124</v>
      </c>
      <c r="C516" t="s">
        <v>95</v>
      </c>
      <c r="D516" t="s">
        <v>151</v>
      </c>
      <c r="E516">
        <v>3</v>
      </c>
      <c r="F516">
        <v>2007</v>
      </c>
      <c r="G516">
        <v>1</v>
      </c>
      <c r="H516">
        <v>1</v>
      </c>
      <c r="I516" t="str">
        <f>IF(H516=1,B516,"")</f>
        <v>Nigeria</v>
      </c>
      <c r="K516">
        <v>2007</v>
      </c>
      <c r="L516">
        <v>7</v>
      </c>
      <c r="M516">
        <v>0</v>
      </c>
    </row>
    <row r="517" spans="1:13" ht="15.75" customHeight="1" x14ac:dyDescent="0.2">
      <c r="A517">
        <f t="shared" si="15"/>
        <v>1</v>
      </c>
      <c r="B517" t="s">
        <v>124</v>
      </c>
      <c r="C517" t="s">
        <v>95</v>
      </c>
      <c r="D517" t="s">
        <v>281</v>
      </c>
      <c r="E517" t="s">
        <v>250</v>
      </c>
      <c r="F517">
        <v>2008</v>
      </c>
      <c r="G517">
        <v>1</v>
      </c>
      <c r="H517">
        <v>0</v>
      </c>
      <c r="L517">
        <v>6</v>
      </c>
      <c r="M517">
        <v>0</v>
      </c>
    </row>
    <row r="518" spans="1:13" ht="15.75" customHeight="1" x14ac:dyDescent="0.2">
      <c r="A518">
        <f t="shared" si="15"/>
        <v>1</v>
      </c>
      <c r="B518" t="s">
        <v>124</v>
      </c>
      <c r="C518" t="s">
        <v>95</v>
      </c>
      <c r="D518" t="s">
        <v>281</v>
      </c>
      <c r="E518" t="s">
        <v>250</v>
      </c>
      <c r="F518">
        <v>2010</v>
      </c>
      <c r="G518">
        <v>1</v>
      </c>
      <c r="H518">
        <v>0</v>
      </c>
      <c r="L518">
        <v>5</v>
      </c>
      <c r="M518">
        <v>0</v>
      </c>
    </row>
    <row r="519" spans="1:13" ht="15.75" customHeight="1" x14ac:dyDescent="0.2">
      <c r="A519">
        <f t="shared" si="15"/>
        <v>1</v>
      </c>
      <c r="B519" t="s">
        <v>124</v>
      </c>
      <c r="C519" t="s">
        <v>95</v>
      </c>
      <c r="D519" t="s">
        <v>244</v>
      </c>
      <c r="E519" t="s">
        <v>225</v>
      </c>
      <c r="F519">
        <v>2010</v>
      </c>
      <c r="G519">
        <v>1</v>
      </c>
      <c r="H519">
        <v>0</v>
      </c>
      <c r="I519" t="str">
        <f>IF(H519=1,B519,"")</f>
        <v/>
      </c>
      <c r="L519">
        <v>4</v>
      </c>
      <c r="M519">
        <v>0</v>
      </c>
    </row>
    <row r="520" spans="1:13" ht="15.75" customHeight="1" x14ac:dyDescent="0.2">
      <c r="A520">
        <f t="shared" si="15"/>
        <v>1</v>
      </c>
      <c r="B520" t="s">
        <v>124</v>
      </c>
      <c r="C520" t="s">
        <v>95</v>
      </c>
      <c r="D520" t="s">
        <v>151</v>
      </c>
      <c r="E520">
        <v>4</v>
      </c>
      <c r="F520">
        <v>2011</v>
      </c>
      <c r="G520">
        <v>1</v>
      </c>
      <c r="H520">
        <v>0</v>
      </c>
      <c r="I520" t="str">
        <f>IF(H520=1,B520,"")</f>
        <v/>
      </c>
      <c r="K520">
        <v>2011</v>
      </c>
      <c r="L520">
        <v>3</v>
      </c>
      <c r="M520">
        <v>0</v>
      </c>
    </row>
    <row r="521" spans="1:13" ht="15.75" customHeight="1" x14ac:dyDescent="0.2">
      <c r="A521">
        <f t="shared" ref="A521:A584" si="16">IF(B521=B522,1,0)</f>
        <v>1</v>
      </c>
      <c r="B521" s="105" t="s">
        <v>124</v>
      </c>
      <c r="C521" s="105" t="s">
        <v>95</v>
      </c>
      <c r="D521" s="105" t="s">
        <v>281</v>
      </c>
      <c r="E521" s="105" t="s">
        <v>282</v>
      </c>
      <c r="F521" s="105">
        <v>2013</v>
      </c>
      <c r="G521" s="105">
        <v>1</v>
      </c>
      <c r="H521" s="105">
        <v>0</v>
      </c>
      <c r="I521" s="105"/>
      <c r="J521" s="105"/>
      <c r="K521" s="105"/>
      <c r="L521" s="105">
        <v>1</v>
      </c>
      <c r="M521" s="105">
        <v>0</v>
      </c>
    </row>
    <row r="522" spans="1:13" ht="15.75" customHeight="1" x14ac:dyDescent="0.2">
      <c r="A522">
        <f t="shared" si="16"/>
        <v>0</v>
      </c>
      <c r="B522" t="s">
        <v>124</v>
      </c>
      <c r="C522" t="s">
        <v>95</v>
      </c>
      <c r="D522" t="s">
        <v>244</v>
      </c>
      <c r="E522" t="s">
        <v>225</v>
      </c>
      <c r="F522">
        <v>2013</v>
      </c>
      <c r="G522">
        <v>1</v>
      </c>
      <c r="H522">
        <v>0</v>
      </c>
      <c r="K522">
        <v>2012</v>
      </c>
      <c r="L522">
        <v>2</v>
      </c>
      <c r="M522">
        <v>0</v>
      </c>
    </row>
    <row r="523" spans="1:13" ht="15.75" customHeight="1" x14ac:dyDescent="0.2">
      <c r="A523">
        <f t="shared" si="16"/>
        <v>0</v>
      </c>
      <c r="B523" t="s">
        <v>321</v>
      </c>
      <c r="C523" s="97" t="s">
        <v>468</v>
      </c>
      <c r="D523" s="98" t="s">
        <v>151</v>
      </c>
      <c r="E523" s="104"/>
      <c r="F523" s="98">
        <v>2014</v>
      </c>
      <c r="G523" s="99">
        <v>1</v>
      </c>
      <c r="H523" s="98">
        <v>1</v>
      </c>
      <c r="I523" s="97"/>
      <c r="J523" s="97"/>
      <c r="K523" s="98">
        <v>2014</v>
      </c>
      <c r="L523" s="97">
        <v>1</v>
      </c>
      <c r="M523">
        <v>1</v>
      </c>
    </row>
    <row r="524" spans="1:13" ht="15.75" customHeight="1" x14ac:dyDescent="0.2">
      <c r="A524">
        <f t="shared" si="16"/>
        <v>1</v>
      </c>
      <c r="B524" t="s">
        <v>465</v>
      </c>
      <c r="C524" t="s">
        <v>468</v>
      </c>
      <c r="D524" t="s">
        <v>380</v>
      </c>
      <c r="E524" t="s">
        <v>329</v>
      </c>
      <c r="F524">
        <v>2007</v>
      </c>
      <c r="G524">
        <v>1</v>
      </c>
      <c r="H524">
        <v>1</v>
      </c>
      <c r="I524" t="str">
        <f t="shared" ref="I524:I529" si="17">IF(H524=1,B524,"")</f>
        <v>Occupied Palestinian Territory</v>
      </c>
      <c r="K524">
        <v>2006</v>
      </c>
      <c r="L524">
        <v>2</v>
      </c>
      <c r="M524">
        <v>1</v>
      </c>
    </row>
    <row r="525" spans="1:13" ht="15.75" customHeight="1" x14ac:dyDescent="0.2">
      <c r="A525">
        <f t="shared" si="16"/>
        <v>0</v>
      </c>
      <c r="B525" s="105" t="s">
        <v>465</v>
      </c>
      <c r="C525" s="105" t="s">
        <v>468</v>
      </c>
      <c r="D525" s="105" t="s">
        <v>151</v>
      </c>
      <c r="E525" s="105">
        <v>4</v>
      </c>
      <c r="F525" s="105">
        <v>2011</v>
      </c>
      <c r="G525" s="105">
        <v>1</v>
      </c>
      <c r="H525" s="105">
        <v>1</v>
      </c>
      <c r="I525" s="105" t="str">
        <f t="shared" si="17"/>
        <v>Occupied Palestinian Territory</v>
      </c>
      <c r="J525" s="105"/>
      <c r="K525" s="105"/>
      <c r="L525" s="105">
        <v>1</v>
      </c>
      <c r="M525" s="105">
        <v>0</v>
      </c>
    </row>
    <row r="526" spans="1:13" ht="15.75" customHeight="1" x14ac:dyDescent="0.2">
      <c r="A526">
        <f t="shared" si="16"/>
        <v>0</v>
      </c>
      <c r="B526" t="s">
        <v>337</v>
      </c>
      <c r="C526" t="s">
        <v>468</v>
      </c>
      <c r="D526" t="s">
        <v>151</v>
      </c>
      <c r="E526">
        <v>5</v>
      </c>
      <c r="F526">
        <v>2014</v>
      </c>
      <c r="G526">
        <v>1</v>
      </c>
      <c r="H526">
        <v>1</v>
      </c>
      <c r="I526" t="str">
        <f t="shared" si="17"/>
        <v>Oman</v>
      </c>
      <c r="K526">
        <v>2014</v>
      </c>
      <c r="L526">
        <v>1</v>
      </c>
      <c r="M526">
        <v>1</v>
      </c>
    </row>
    <row r="527" spans="1:13" ht="15.75" customHeight="1" x14ac:dyDescent="0.2">
      <c r="A527">
        <f t="shared" si="16"/>
        <v>1</v>
      </c>
      <c r="B527" t="s">
        <v>92</v>
      </c>
      <c r="C527" t="s">
        <v>87</v>
      </c>
      <c r="D527" t="s">
        <v>281</v>
      </c>
      <c r="E527" t="s">
        <v>250</v>
      </c>
      <c r="F527">
        <v>1991</v>
      </c>
      <c r="G527">
        <v>1</v>
      </c>
      <c r="H527">
        <v>1</v>
      </c>
      <c r="I527" t="str">
        <f t="shared" si="17"/>
        <v>Pakistan</v>
      </c>
      <c r="L527">
        <v>10</v>
      </c>
      <c r="M527">
        <v>1</v>
      </c>
    </row>
    <row r="528" spans="1:13" ht="15.75" customHeight="1" x14ac:dyDescent="0.2">
      <c r="A528">
        <f t="shared" si="16"/>
        <v>1</v>
      </c>
      <c r="B528" t="s">
        <v>92</v>
      </c>
      <c r="C528" t="s">
        <v>87</v>
      </c>
      <c r="D528" t="s">
        <v>244</v>
      </c>
      <c r="E528" t="s">
        <v>209</v>
      </c>
      <c r="F528">
        <v>1991</v>
      </c>
      <c r="G528">
        <v>1</v>
      </c>
      <c r="H528">
        <v>1</v>
      </c>
      <c r="I528" t="str">
        <f t="shared" si="17"/>
        <v>Pakistan</v>
      </c>
      <c r="L528">
        <v>9</v>
      </c>
      <c r="M528">
        <v>0</v>
      </c>
    </row>
    <row r="529" spans="1:13" ht="15.75" customHeight="1" x14ac:dyDescent="0.2">
      <c r="A529">
        <f t="shared" si="16"/>
        <v>1</v>
      </c>
      <c r="B529" t="s">
        <v>92</v>
      </c>
      <c r="C529" t="s">
        <v>87</v>
      </c>
      <c r="D529" t="s">
        <v>450</v>
      </c>
      <c r="E529" t="s">
        <v>446</v>
      </c>
      <c r="F529">
        <v>1996</v>
      </c>
      <c r="G529">
        <v>1</v>
      </c>
      <c r="H529">
        <v>1</v>
      </c>
      <c r="I529" t="str">
        <f t="shared" si="17"/>
        <v>Pakistan</v>
      </c>
      <c r="K529">
        <v>1995</v>
      </c>
      <c r="L529">
        <v>8</v>
      </c>
      <c r="M529">
        <v>0</v>
      </c>
    </row>
    <row r="530" spans="1:13" ht="15.75" customHeight="1" x14ac:dyDescent="0.2">
      <c r="A530">
        <f t="shared" si="16"/>
        <v>1</v>
      </c>
      <c r="B530" t="s">
        <v>92</v>
      </c>
      <c r="C530" t="s">
        <v>87</v>
      </c>
      <c r="D530" t="s">
        <v>450</v>
      </c>
      <c r="E530" t="s">
        <v>446</v>
      </c>
      <c r="F530">
        <v>1997</v>
      </c>
      <c r="G530">
        <v>1</v>
      </c>
      <c r="H530">
        <v>0</v>
      </c>
      <c r="K530">
        <v>1996</v>
      </c>
      <c r="L530">
        <v>7</v>
      </c>
      <c r="M530">
        <v>0</v>
      </c>
    </row>
    <row r="531" spans="1:13" ht="15.75" customHeight="1" x14ac:dyDescent="0.2">
      <c r="A531">
        <f t="shared" si="16"/>
        <v>1</v>
      </c>
      <c r="B531" t="s">
        <v>92</v>
      </c>
      <c r="C531" t="s">
        <v>87</v>
      </c>
      <c r="D531" t="s">
        <v>450</v>
      </c>
      <c r="E531" t="s">
        <v>446</v>
      </c>
      <c r="F531">
        <v>2002</v>
      </c>
      <c r="G531">
        <v>1</v>
      </c>
      <c r="H531">
        <v>0</v>
      </c>
      <c r="K531">
        <v>2001</v>
      </c>
      <c r="L531">
        <v>6</v>
      </c>
      <c r="M531">
        <v>0</v>
      </c>
    </row>
    <row r="532" spans="1:13" ht="15.75" customHeight="1" x14ac:dyDescent="0.2">
      <c r="A532">
        <f t="shared" si="16"/>
        <v>1</v>
      </c>
      <c r="B532" t="s">
        <v>92</v>
      </c>
      <c r="C532" t="s">
        <v>87</v>
      </c>
      <c r="D532" t="s">
        <v>450</v>
      </c>
      <c r="E532" t="s">
        <v>446</v>
      </c>
      <c r="F532">
        <v>2005</v>
      </c>
      <c r="G532">
        <v>1</v>
      </c>
      <c r="H532">
        <v>0</v>
      </c>
      <c r="K532">
        <v>2004</v>
      </c>
      <c r="L532">
        <v>5</v>
      </c>
      <c r="M532">
        <v>0</v>
      </c>
    </row>
    <row r="533" spans="1:13" ht="15.75" customHeight="1" x14ac:dyDescent="0.2">
      <c r="A533">
        <f t="shared" si="16"/>
        <v>1</v>
      </c>
      <c r="B533" t="s">
        <v>92</v>
      </c>
      <c r="C533" t="s">
        <v>87</v>
      </c>
      <c r="D533" t="s">
        <v>281</v>
      </c>
      <c r="E533" t="s">
        <v>282</v>
      </c>
      <c r="F533">
        <v>2006</v>
      </c>
      <c r="G533">
        <v>1</v>
      </c>
      <c r="H533">
        <v>0</v>
      </c>
      <c r="L533">
        <v>4</v>
      </c>
      <c r="M533">
        <v>0</v>
      </c>
    </row>
    <row r="534" spans="1:13" ht="15.75" customHeight="1" x14ac:dyDescent="0.2">
      <c r="A534">
        <f t="shared" si="16"/>
        <v>1</v>
      </c>
      <c r="B534" t="s">
        <v>92</v>
      </c>
      <c r="C534" t="s">
        <v>87</v>
      </c>
      <c r="D534" t="s">
        <v>151</v>
      </c>
      <c r="E534">
        <v>4</v>
      </c>
      <c r="F534">
        <v>2010</v>
      </c>
      <c r="G534">
        <v>1</v>
      </c>
      <c r="H534">
        <v>1</v>
      </c>
      <c r="I534" t="str">
        <f>IF(H534=1,B534,"")</f>
        <v>Pakistan</v>
      </c>
      <c r="J534" t="s">
        <v>196</v>
      </c>
      <c r="K534">
        <v>2010</v>
      </c>
      <c r="L534">
        <v>3</v>
      </c>
      <c r="M534">
        <v>0</v>
      </c>
    </row>
    <row r="535" spans="1:13" ht="15.75" customHeight="1" x14ac:dyDescent="0.2">
      <c r="A535">
        <f t="shared" si="16"/>
        <v>1</v>
      </c>
      <c r="B535" t="s">
        <v>92</v>
      </c>
      <c r="C535" t="s">
        <v>87</v>
      </c>
      <c r="D535" t="s">
        <v>151</v>
      </c>
      <c r="E535">
        <v>4</v>
      </c>
      <c r="F535">
        <v>2011</v>
      </c>
      <c r="G535">
        <v>1</v>
      </c>
      <c r="H535">
        <v>0</v>
      </c>
      <c r="I535" t="str">
        <f>IF(H535=1,B535,"")</f>
        <v/>
      </c>
      <c r="J535" t="s">
        <v>197</v>
      </c>
      <c r="K535">
        <v>2011</v>
      </c>
      <c r="L535">
        <v>2</v>
      </c>
      <c r="M535">
        <v>0</v>
      </c>
    </row>
    <row r="536" spans="1:13" ht="15.75" customHeight="1" x14ac:dyDescent="0.2">
      <c r="A536">
        <f t="shared" si="16"/>
        <v>0</v>
      </c>
      <c r="B536" t="s">
        <v>92</v>
      </c>
      <c r="C536" t="s">
        <v>87</v>
      </c>
      <c r="D536" t="s">
        <v>281</v>
      </c>
      <c r="E536" t="s">
        <v>277</v>
      </c>
      <c r="F536">
        <v>2012</v>
      </c>
      <c r="G536">
        <v>1</v>
      </c>
      <c r="H536">
        <v>0</v>
      </c>
      <c r="L536">
        <v>1</v>
      </c>
      <c r="M536">
        <v>0</v>
      </c>
    </row>
    <row r="537" spans="1:13" ht="15.75" customHeight="1" x14ac:dyDescent="0.2">
      <c r="A537">
        <f t="shared" si="16"/>
        <v>0</v>
      </c>
      <c r="B537" t="s">
        <v>170</v>
      </c>
      <c r="D537" t="s">
        <v>151</v>
      </c>
      <c r="E537">
        <v>3</v>
      </c>
      <c r="F537">
        <v>2006</v>
      </c>
      <c r="G537">
        <v>1</v>
      </c>
      <c r="H537">
        <v>1</v>
      </c>
      <c r="I537" t="str">
        <f>IF(H537=1,B537,"")</f>
        <v>Palestinians in Syrian Arab Republic</v>
      </c>
      <c r="K537">
        <v>2006</v>
      </c>
      <c r="L537">
        <v>1</v>
      </c>
      <c r="M537">
        <v>1</v>
      </c>
    </row>
    <row r="538" spans="1:13" ht="15.75" customHeight="1" x14ac:dyDescent="0.2">
      <c r="A538">
        <f t="shared" si="16"/>
        <v>1</v>
      </c>
      <c r="B538" t="s">
        <v>66</v>
      </c>
      <c r="C538" t="s">
        <v>469</v>
      </c>
      <c r="D538" t="s">
        <v>244</v>
      </c>
      <c r="E538" t="s">
        <v>226</v>
      </c>
      <c r="F538">
        <v>1997</v>
      </c>
      <c r="G538">
        <v>1</v>
      </c>
      <c r="H538">
        <v>1</v>
      </c>
      <c r="I538" t="str">
        <f>IF(H538=1,B538,"")</f>
        <v>Panama</v>
      </c>
      <c r="L538">
        <v>4</v>
      </c>
      <c r="M538">
        <v>1</v>
      </c>
    </row>
    <row r="539" spans="1:13" ht="15.75" customHeight="1" x14ac:dyDescent="0.2">
      <c r="A539">
        <f t="shared" si="16"/>
        <v>1</v>
      </c>
      <c r="B539" t="s">
        <v>66</v>
      </c>
      <c r="C539" t="s">
        <v>469</v>
      </c>
      <c r="D539" t="s">
        <v>244</v>
      </c>
      <c r="E539" t="s">
        <v>226</v>
      </c>
      <c r="F539">
        <v>2003</v>
      </c>
      <c r="G539">
        <v>1</v>
      </c>
      <c r="H539">
        <v>0</v>
      </c>
      <c r="L539">
        <v>3</v>
      </c>
      <c r="M539">
        <v>0</v>
      </c>
    </row>
    <row r="540" spans="1:13" ht="15.75" customHeight="1" x14ac:dyDescent="0.2">
      <c r="A540">
        <f t="shared" si="16"/>
        <v>1</v>
      </c>
      <c r="B540" t="s">
        <v>66</v>
      </c>
      <c r="C540" t="s">
        <v>469</v>
      </c>
      <c r="D540" t="s">
        <v>244</v>
      </c>
      <c r="E540" t="s">
        <v>226</v>
      </c>
      <c r="F540">
        <v>2008</v>
      </c>
      <c r="G540">
        <v>1</v>
      </c>
      <c r="H540">
        <v>0</v>
      </c>
      <c r="L540">
        <v>2</v>
      </c>
      <c r="M540">
        <v>0</v>
      </c>
    </row>
    <row r="541" spans="1:13" ht="15.75" customHeight="1" x14ac:dyDescent="0.2">
      <c r="A541">
        <f t="shared" si="16"/>
        <v>0</v>
      </c>
      <c r="B541" t="s">
        <v>66</v>
      </c>
      <c r="C541" t="s">
        <v>469</v>
      </c>
      <c r="D541" t="s">
        <v>151</v>
      </c>
      <c r="E541">
        <v>5</v>
      </c>
      <c r="F541">
        <v>2013</v>
      </c>
      <c r="G541">
        <v>1</v>
      </c>
      <c r="H541">
        <v>1</v>
      </c>
      <c r="I541" t="str">
        <f>IF(H541=1,B541,"")</f>
        <v>Panama</v>
      </c>
      <c r="L541">
        <v>1</v>
      </c>
      <c r="M541">
        <v>0</v>
      </c>
    </row>
    <row r="542" spans="1:13" ht="15.75" customHeight="1" x14ac:dyDescent="0.2">
      <c r="A542">
        <f t="shared" si="16"/>
        <v>0</v>
      </c>
      <c r="B542" t="s">
        <v>227</v>
      </c>
      <c r="C542" t="s">
        <v>158</v>
      </c>
      <c r="D542" t="s">
        <v>244</v>
      </c>
      <c r="E542" t="s">
        <v>228</v>
      </c>
      <c r="F542">
        <v>1996</v>
      </c>
      <c r="G542">
        <v>1</v>
      </c>
      <c r="H542">
        <v>1</v>
      </c>
      <c r="I542" t="str">
        <f>IF(H542=1,B542,"")</f>
        <v>Papua Guinea</v>
      </c>
      <c r="L542">
        <v>1</v>
      </c>
      <c r="M542">
        <v>1</v>
      </c>
    </row>
    <row r="543" spans="1:13" ht="15.75" customHeight="1" x14ac:dyDescent="0.2">
      <c r="A543">
        <f t="shared" si="16"/>
        <v>0</v>
      </c>
      <c r="B543" t="s">
        <v>67</v>
      </c>
      <c r="C543" t="s">
        <v>469</v>
      </c>
      <c r="D543" t="s">
        <v>281</v>
      </c>
      <c r="E543" t="s">
        <v>250</v>
      </c>
      <c r="F543">
        <v>1990</v>
      </c>
      <c r="G543">
        <v>1</v>
      </c>
      <c r="H543">
        <v>1</v>
      </c>
      <c r="I543" t="str">
        <f>IF(H543=1,B543,"")</f>
        <v>Paraguay</v>
      </c>
      <c r="L543">
        <v>1</v>
      </c>
      <c r="M543">
        <v>1</v>
      </c>
    </row>
    <row r="544" spans="1:13" ht="15.75" customHeight="1" x14ac:dyDescent="0.2">
      <c r="A544">
        <f t="shared" si="16"/>
        <v>1</v>
      </c>
      <c r="B544" t="s">
        <v>68</v>
      </c>
      <c r="C544" t="s">
        <v>469</v>
      </c>
      <c r="D544" t="s">
        <v>244</v>
      </c>
      <c r="E544" t="s">
        <v>222</v>
      </c>
      <c r="F544">
        <v>1985</v>
      </c>
      <c r="G544">
        <v>1</v>
      </c>
      <c r="H544">
        <v>1</v>
      </c>
      <c r="I544" t="str">
        <f>IF(H544=1,B544,"")</f>
        <v>Peru</v>
      </c>
      <c r="L544">
        <v>17</v>
      </c>
      <c r="M544">
        <v>1</v>
      </c>
    </row>
    <row r="545" spans="1:13" ht="15.75" customHeight="1" x14ac:dyDescent="0.2">
      <c r="A545">
        <f t="shared" si="16"/>
        <v>1</v>
      </c>
      <c r="B545" t="s">
        <v>68</v>
      </c>
      <c r="C545" t="s">
        <v>469</v>
      </c>
      <c r="D545" t="s">
        <v>281</v>
      </c>
      <c r="E545" t="s">
        <v>250</v>
      </c>
      <c r="F545">
        <v>1986</v>
      </c>
      <c r="G545">
        <v>1</v>
      </c>
      <c r="H545">
        <v>1</v>
      </c>
      <c r="I545" t="str">
        <f>IF(H545=1,B545,"")</f>
        <v>Peru</v>
      </c>
      <c r="L545">
        <v>16</v>
      </c>
      <c r="M545">
        <v>0</v>
      </c>
    </row>
    <row r="546" spans="1:13" ht="15.75" customHeight="1" x14ac:dyDescent="0.2">
      <c r="A546">
        <f t="shared" si="16"/>
        <v>1</v>
      </c>
      <c r="B546" t="s">
        <v>68</v>
      </c>
      <c r="C546" t="s">
        <v>469</v>
      </c>
      <c r="D546" t="s">
        <v>281</v>
      </c>
      <c r="E546" t="s">
        <v>250</v>
      </c>
      <c r="F546">
        <v>1986</v>
      </c>
      <c r="G546">
        <v>1</v>
      </c>
      <c r="H546">
        <v>0</v>
      </c>
      <c r="L546">
        <v>15</v>
      </c>
      <c r="M546">
        <v>0</v>
      </c>
    </row>
    <row r="547" spans="1:13" ht="15.75" customHeight="1" x14ac:dyDescent="0.2">
      <c r="A547">
        <f t="shared" si="16"/>
        <v>1</v>
      </c>
      <c r="B547" t="s">
        <v>68</v>
      </c>
      <c r="C547" t="s">
        <v>469</v>
      </c>
      <c r="D547" t="s">
        <v>244</v>
      </c>
      <c r="E547" t="s">
        <v>229</v>
      </c>
      <c r="F547">
        <v>1990</v>
      </c>
      <c r="G547">
        <v>1</v>
      </c>
      <c r="H547">
        <v>0</v>
      </c>
      <c r="L547">
        <v>14</v>
      </c>
      <c r="M547">
        <v>0</v>
      </c>
    </row>
    <row r="548" spans="1:13" ht="15.75" customHeight="1" x14ac:dyDescent="0.2">
      <c r="A548">
        <f t="shared" si="16"/>
        <v>1</v>
      </c>
      <c r="B548" t="s">
        <v>68</v>
      </c>
      <c r="C548" t="s">
        <v>469</v>
      </c>
      <c r="D548" t="s">
        <v>244</v>
      </c>
      <c r="E548" t="s">
        <v>222</v>
      </c>
      <c r="F548">
        <v>1991</v>
      </c>
      <c r="G548">
        <v>1</v>
      </c>
      <c r="H548">
        <v>0</v>
      </c>
      <c r="L548">
        <v>13</v>
      </c>
      <c r="M548">
        <v>0</v>
      </c>
    </row>
    <row r="549" spans="1:13" ht="15.75" customHeight="1" x14ac:dyDescent="0.2">
      <c r="A549">
        <f t="shared" si="16"/>
        <v>1</v>
      </c>
      <c r="B549" t="s">
        <v>68</v>
      </c>
      <c r="C549" t="s">
        <v>469</v>
      </c>
      <c r="D549" t="s">
        <v>281</v>
      </c>
      <c r="E549" t="s">
        <v>293</v>
      </c>
      <c r="F549">
        <v>1992</v>
      </c>
      <c r="G549">
        <v>1</v>
      </c>
      <c r="H549">
        <v>0</v>
      </c>
      <c r="L549">
        <v>12</v>
      </c>
      <c r="M549">
        <v>0</v>
      </c>
    </row>
    <row r="550" spans="1:13" ht="15.75" customHeight="1" x14ac:dyDescent="0.2">
      <c r="A550">
        <f t="shared" si="16"/>
        <v>1</v>
      </c>
      <c r="B550" t="s">
        <v>68</v>
      </c>
      <c r="C550" t="s">
        <v>469</v>
      </c>
      <c r="D550" t="s">
        <v>244</v>
      </c>
      <c r="E550" t="s">
        <v>222</v>
      </c>
      <c r="F550">
        <v>1994</v>
      </c>
      <c r="G550">
        <v>1</v>
      </c>
      <c r="H550">
        <v>0</v>
      </c>
      <c r="L550">
        <v>11</v>
      </c>
      <c r="M550">
        <v>0</v>
      </c>
    </row>
    <row r="551" spans="1:13" ht="15.75" customHeight="1" x14ac:dyDescent="0.2">
      <c r="A551">
        <f t="shared" si="16"/>
        <v>1</v>
      </c>
      <c r="B551" t="s">
        <v>68</v>
      </c>
      <c r="C551" t="s">
        <v>469</v>
      </c>
      <c r="D551" t="s">
        <v>281</v>
      </c>
      <c r="E551" t="s">
        <v>264</v>
      </c>
      <c r="F551">
        <v>1996</v>
      </c>
      <c r="G551">
        <v>1</v>
      </c>
      <c r="H551">
        <v>0</v>
      </c>
      <c r="L551">
        <v>10</v>
      </c>
      <c r="M551">
        <v>0</v>
      </c>
    </row>
    <row r="552" spans="1:13" ht="15.75" customHeight="1" x14ac:dyDescent="0.2">
      <c r="A552">
        <f t="shared" si="16"/>
        <v>1</v>
      </c>
      <c r="B552" t="s">
        <v>68</v>
      </c>
      <c r="C552" t="s">
        <v>469</v>
      </c>
      <c r="D552" t="s">
        <v>281</v>
      </c>
      <c r="E552" t="s">
        <v>256</v>
      </c>
      <c r="F552">
        <v>2000</v>
      </c>
      <c r="G552">
        <v>1</v>
      </c>
      <c r="H552">
        <v>0</v>
      </c>
      <c r="L552">
        <v>9</v>
      </c>
      <c r="M552">
        <v>0</v>
      </c>
    </row>
    <row r="553" spans="1:13" ht="15.75" customHeight="1" x14ac:dyDescent="0.2">
      <c r="A553">
        <f t="shared" si="16"/>
        <v>1</v>
      </c>
      <c r="B553" t="s">
        <v>68</v>
      </c>
      <c r="C553" t="s">
        <v>469</v>
      </c>
      <c r="D553" t="s">
        <v>281</v>
      </c>
      <c r="E553" t="s">
        <v>259</v>
      </c>
      <c r="F553">
        <v>2004</v>
      </c>
      <c r="G553">
        <v>1</v>
      </c>
      <c r="H553">
        <v>0</v>
      </c>
      <c r="L553">
        <v>8</v>
      </c>
      <c r="M553">
        <v>0</v>
      </c>
    </row>
    <row r="554" spans="1:13" ht="15.75" customHeight="1" x14ac:dyDescent="0.2">
      <c r="A554">
        <f t="shared" si="16"/>
        <v>1</v>
      </c>
      <c r="B554" t="s">
        <v>68</v>
      </c>
      <c r="C554" t="s">
        <v>469</v>
      </c>
      <c r="D554" t="s">
        <v>281</v>
      </c>
      <c r="E554" t="s">
        <v>250</v>
      </c>
      <c r="F554">
        <v>2007</v>
      </c>
      <c r="G554">
        <v>1</v>
      </c>
      <c r="H554">
        <v>0</v>
      </c>
      <c r="L554">
        <v>7</v>
      </c>
      <c r="M554">
        <v>0</v>
      </c>
    </row>
    <row r="555" spans="1:13" x14ac:dyDescent="0.2">
      <c r="A555">
        <f t="shared" si="16"/>
        <v>1</v>
      </c>
      <c r="B555" t="s">
        <v>68</v>
      </c>
      <c r="C555" t="s">
        <v>469</v>
      </c>
      <c r="D555" t="s">
        <v>281</v>
      </c>
      <c r="E555" t="s">
        <v>250</v>
      </c>
      <c r="F555">
        <v>2009</v>
      </c>
      <c r="G555">
        <v>1</v>
      </c>
      <c r="H555">
        <v>0</v>
      </c>
      <c r="L555">
        <v>6</v>
      </c>
      <c r="M555">
        <v>0</v>
      </c>
    </row>
    <row r="556" spans="1:13" ht="15.75" customHeight="1" x14ac:dyDescent="0.2">
      <c r="A556">
        <f t="shared" si="16"/>
        <v>1</v>
      </c>
      <c r="B556" t="s">
        <v>68</v>
      </c>
      <c r="C556" t="s">
        <v>469</v>
      </c>
      <c r="D556" t="s">
        <v>281</v>
      </c>
      <c r="E556" t="s">
        <v>250</v>
      </c>
      <c r="F556">
        <v>2010</v>
      </c>
      <c r="G556">
        <v>1</v>
      </c>
      <c r="H556">
        <v>0</v>
      </c>
      <c r="L556">
        <v>5</v>
      </c>
      <c r="M556">
        <v>0</v>
      </c>
    </row>
    <row r="557" spans="1:13" ht="15.75" customHeight="1" x14ac:dyDescent="0.2">
      <c r="A557">
        <f t="shared" si="16"/>
        <v>1</v>
      </c>
      <c r="B557" t="s">
        <v>68</v>
      </c>
      <c r="C557" t="s">
        <v>469</v>
      </c>
      <c r="D557" t="s">
        <v>281</v>
      </c>
      <c r="E557" t="s">
        <v>250</v>
      </c>
      <c r="F557">
        <v>2011</v>
      </c>
      <c r="G557">
        <v>1</v>
      </c>
      <c r="H557">
        <v>0</v>
      </c>
      <c r="L557">
        <v>4</v>
      </c>
      <c r="M557">
        <v>0</v>
      </c>
    </row>
    <row r="558" spans="1:13" ht="15.75" customHeight="1" x14ac:dyDescent="0.2">
      <c r="A558">
        <f t="shared" si="16"/>
        <v>1</v>
      </c>
      <c r="B558" t="s">
        <v>68</v>
      </c>
      <c r="C558" t="s">
        <v>469</v>
      </c>
      <c r="D558" t="s">
        <v>281</v>
      </c>
      <c r="E558" t="s">
        <v>250</v>
      </c>
      <c r="F558">
        <v>2012</v>
      </c>
      <c r="G558">
        <v>1</v>
      </c>
      <c r="H558">
        <v>0</v>
      </c>
      <c r="L558">
        <v>3</v>
      </c>
      <c r="M558">
        <v>0</v>
      </c>
    </row>
    <row r="559" spans="1:13" ht="15.75" customHeight="1" x14ac:dyDescent="0.2">
      <c r="A559">
        <f t="shared" si="16"/>
        <v>1</v>
      </c>
      <c r="B559" t="s">
        <v>68</v>
      </c>
      <c r="C559" t="s">
        <v>469</v>
      </c>
      <c r="D559" t="s">
        <v>281</v>
      </c>
      <c r="E559" t="s">
        <v>250</v>
      </c>
      <c r="F559">
        <v>2013</v>
      </c>
      <c r="G559">
        <v>1</v>
      </c>
      <c r="H559">
        <v>0</v>
      </c>
      <c r="L559">
        <v>2</v>
      </c>
      <c r="M559">
        <v>0</v>
      </c>
    </row>
    <row r="560" spans="1:13" ht="15.75" customHeight="1" x14ac:dyDescent="0.2">
      <c r="A560">
        <f t="shared" si="16"/>
        <v>0</v>
      </c>
      <c r="B560" s="97" t="s">
        <v>68</v>
      </c>
      <c r="C560" s="97"/>
      <c r="D560" s="97" t="s">
        <v>281</v>
      </c>
      <c r="E560" s="96" t="s">
        <v>485</v>
      </c>
      <c r="F560" s="97">
        <v>2014</v>
      </c>
      <c r="G560" s="97">
        <v>1</v>
      </c>
      <c r="H560" s="97">
        <v>0</v>
      </c>
      <c r="I560" s="97"/>
      <c r="J560" s="97"/>
      <c r="K560" s="97"/>
      <c r="L560" s="97">
        <v>1</v>
      </c>
      <c r="M560">
        <v>0</v>
      </c>
    </row>
    <row r="561" spans="1:13" ht="15.75" customHeight="1" x14ac:dyDescent="0.2">
      <c r="A561">
        <f t="shared" si="16"/>
        <v>1</v>
      </c>
      <c r="B561" t="s">
        <v>15</v>
      </c>
      <c r="C561" t="s">
        <v>158</v>
      </c>
      <c r="D561" t="s">
        <v>281</v>
      </c>
      <c r="E561" t="s">
        <v>250</v>
      </c>
      <c r="F561">
        <v>1993</v>
      </c>
      <c r="G561">
        <v>1</v>
      </c>
      <c r="H561">
        <v>1</v>
      </c>
      <c r="I561" t="str">
        <f>IF(H561=1,B561,"")</f>
        <v>Philippines</v>
      </c>
      <c r="L561">
        <v>7</v>
      </c>
      <c r="M561">
        <v>1</v>
      </c>
    </row>
    <row r="562" spans="1:13" ht="15.75" customHeight="1" x14ac:dyDescent="0.2">
      <c r="A562">
        <f t="shared" si="16"/>
        <v>1</v>
      </c>
      <c r="B562" t="s">
        <v>15</v>
      </c>
      <c r="C562" t="s">
        <v>158</v>
      </c>
      <c r="D562" t="s">
        <v>281</v>
      </c>
      <c r="E562" t="s">
        <v>250</v>
      </c>
      <c r="F562">
        <v>1993</v>
      </c>
      <c r="G562">
        <v>1</v>
      </c>
      <c r="H562">
        <v>0</v>
      </c>
      <c r="L562">
        <v>6</v>
      </c>
      <c r="M562">
        <v>0</v>
      </c>
    </row>
    <row r="563" spans="1:13" ht="15.75" customHeight="1" x14ac:dyDescent="0.2">
      <c r="A563">
        <f t="shared" si="16"/>
        <v>1</v>
      </c>
      <c r="B563" t="s">
        <v>15</v>
      </c>
      <c r="C563" t="s">
        <v>158</v>
      </c>
      <c r="D563" t="s">
        <v>281</v>
      </c>
      <c r="E563" t="s">
        <v>250</v>
      </c>
      <c r="F563">
        <v>1998</v>
      </c>
      <c r="G563">
        <v>1</v>
      </c>
      <c r="H563">
        <v>0</v>
      </c>
      <c r="L563">
        <v>5</v>
      </c>
      <c r="M563">
        <v>0</v>
      </c>
    </row>
    <row r="564" spans="1:13" ht="15.75" customHeight="1" x14ac:dyDescent="0.2">
      <c r="A564">
        <f t="shared" si="16"/>
        <v>1</v>
      </c>
      <c r="B564" t="s">
        <v>15</v>
      </c>
      <c r="C564" t="s">
        <v>158</v>
      </c>
      <c r="D564" t="s">
        <v>151</v>
      </c>
      <c r="E564">
        <v>2</v>
      </c>
      <c r="F564">
        <v>2000</v>
      </c>
      <c r="G564">
        <v>1</v>
      </c>
      <c r="H564">
        <v>1</v>
      </c>
      <c r="I564" t="str">
        <f>IF(H564=1,B564,"")</f>
        <v>Philippines</v>
      </c>
      <c r="K564">
        <v>2000</v>
      </c>
      <c r="L564">
        <v>4</v>
      </c>
      <c r="M564">
        <v>0</v>
      </c>
    </row>
    <row r="565" spans="1:13" ht="15.75" customHeight="1" x14ac:dyDescent="0.2">
      <c r="A565">
        <f t="shared" si="16"/>
        <v>1</v>
      </c>
      <c r="B565" t="s">
        <v>15</v>
      </c>
      <c r="C565" t="s">
        <v>158</v>
      </c>
      <c r="D565" t="s">
        <v>281</v>
      </c>
      <c r="E565" t="s">
        <v>250</v>
      </c>
      <c r="F565">
        <v>2003</v>
      </c>
      <c r="G565">
        <v>1</v>
      </c>
      <c r="H565">
        <v>0</v>
      </c>
      <c r="L565">
        <v>3</v>
      </c>
      <c r="M565">
        <v>0</v>
      </c>
    </row>
    <row r="566" spans="1:13" ht="15.75" customHeight="1" x14ac:dyDescent="0.2">
      <c r="A566">
        <f t="shared" si="16"/>
        <v>1</v>
      </c>
      <c r="B566" t="s">
        <v>15</v>
      </c>
      <c r="C566" t="s">
        <v>158</v>
      </c>
      <c r="D566" t="s">
        <v>281</v>
      </c>
      <c r="E566" t="s">
        <v>266</v>
      </c>
      <c r="F566">
        <v>2008</v>
      </c>
      <c r="G566">
        <v>1</v>
      </c>
      <c r="H566">
        <v>0</v>
      </c>
      <c r="L566">
        <v>2</v>
      </c>
      <c r="M566">
        <v>0</v>
      </c>
    </row>
    <row r="567" spans="1:13" ht="15.75" customHeight="1" x14ac:dyDescent="0.2">
      <c r="A567">
        <f t="shared" si="16"/>
        <v>0</v>
      </c>
      <c r="B567" s="105" t="s">
        <v>15</v>
      </c>
      <c r="C567" s="105" t="s">
        <v>158</v>
      </c>
      <c r="D567" s="105" t="s">
        <v>281</v>
      </c>
      <c r="E567" s="105" t="s">
        <v>250</v>
      </c>
      <c r="F567" s="105">
        <v>2013</v>
      </c>
      <c r="G567" s="105">
        <v>1</v>
      </c>
      <c r="H567" s="105">
        <v>0</v>
      </c>
      <c r="I567" s="105"/>
      <c r="J567" s="105"/>
      <c r="K567" s="105"/>
      <c r="L567" s="105">
        <v>1</v>
      </c>
      <c r="M567" s="105">
        <v>0</v>
      </c>
    </row>
    <row r="568" spans="1:13" ht="15.75" customHeight="1" x14ac:dyDescent="0.2">
      <c r="A568">
        <f t="shared" si="16"/>
        <v>0</v>
      </c>
      <c r="B568" t="s">
        <v>340</v>
      </c>
      <c r="C568" t="s">
        <v>468</v>
      </c>
      <c r="D568" t="s">
        <v>151</v>
      </c>
      <c r="E568">
        <v>4</v>
      </c>
      <c r="F568">
        <v>2012</v>
      </c>
      <c r="G568">
        <v>1</v>
      </c>
      <c r="H568">
        <v>1</v>
      </c>
      <c r="I568" t="str">
        <f>IF(H568=1,B568,"")</f>
        <v>Qatar</v>
      </c>
      <c r="L568">
        <v>1</v>
      </c>
      <c r="M568">
        <v>1</v>
      </c>
    </row>
    <row r="569" spans="1:13" ht="15.75" customHeight="1" x14ac:dyDescent="0.2">
      <c r="A569">
        <f t="shared" si="16"/>
        <v>0</v>
      </c>
      <c r="B569" t="s">
        <v>39</v>
      </c>
      <c r="C569" t="s">
        <v>19</v>
      </c>
      <c r="D569" t="s">
        <v>244</v>
      </c>
      <c r="E569" t="s">
        <v>209</v>
      </c>
      <c r="F569">
        <v>1994</v>
      </c>
      <c r="G569">
        <v>1</v>
      </c>
      <c r="H569">
        <v>1</v>
      </c>
      <c r="I569" t="str">
        <f>IF(H569=1,B569,"")</f>
        <v>Romania</v>
      </c>
      <c r="L569">
        <v>1</v>
      </c>
      <c r="M569">
        <v>1</v>
      </c>
    </row>
    <row r="570" spans="1:13" x14ac:dyDescent="0.2">
      <c r="A570">
        <f t="shared" si="16"/>
        <v>1</v>
      </c>
      <c r="B570" t="s">
        <v>125</v>
      </c>
      <c r="C570" t="s">
        <v>95</v>
      </c>
      <c r="D570" t="s">
        <v>281</v>
      </c>
      <c r="E570" t="s">
        <v>258</v>
      </c>
      <c r="F570">
        <v>1992</v>
      </c>
      <c r="G570">
        <v>1</v>
      </c>
      <c r="H570">
        <v>1</v>
      </c>
      <c r="I570" t="str">
        <f>IF(H570=1,B570,"")</f>
        <v>Rwanda</v>
      </c>
      <c r="L570">
        <v>11</v>
      </c>
      <c r="M570">
        <v>1</v>
      </c>
    </row>
    <row r="571" spans="1:13" ht="15.75" customHeight="1" x14ac:dyDescent="0.2">
      <c r="A571">
        <f t="shared" si="16"/>
        <v>1</v>
      </c>
      <c r="B571" t="s">
        <v>125</v>
      </c>
      <c r="C571" t="s">
        <v>95</v>
      </c>
      <c r="D571" t="s">
        <v>281</v>
      </c>
      <c r="E571" t="s">
        <v>250</v>
      </c>
      <c r="F571">
        <v>2000</v>
      </c>
      <c r="G571">
        <v>1</v>
      </c>
      <c r="H571">
        <v>0</v>
      </c>
      <c r="L571">
        <v>10</v>
      </c>
      <c r="M571">
        <v>0</v>
      </c>
    </row>
    <row r="572" spans="1:13" ht="15.75" customHeight="1" x14ac:dyDescent="0.2">
      <c r="A572">
        <f t="shared" si="16"/>
        <v>1</v>
      </c>
      <c r="B572" t="s">
        <v>125</v>
      </c>
      <c r="C572" t="s">
        <v>95</v>
      </c>
      <c r="D572" t="s">
        <v>151</v>
      </c>
      <c r="E572">
        <v>2</v>
      </c>
      <c r="F572">
        <v>2000</v>
      </c>
      <c r="G572">
        <v>1</v>
      </c>
      <c r="H572">
        <v>1</v>
      </c>
      <c r="I572" t="str">
        <f>IF(H572=1,B572,"")</f>
        <v>Rwanda</v>
      </c>
      <c r="K572">
        <v>2000</v>
      </c>
      <c r="L572">
        <v>9</v>
      </c>
      <c r="M572">
        <v>0</v>
      </c>
    </row>
    <row r="573" spans="1:13" ht="15.75" customHeight="1" x14ac:dyDescent="0.2">
      <c r="A573">
        <f t="shared" si="16"/>
        <v>1</v>
      </c>
      <c r="B573" t="s">
        <v>125</v>
      </c>
      <c r="C573" t="s">
        <v>95</v>
      </c>
      <c r="D573" t="s">
        <v>304</v>
      </c>
      <c r="E573" t="s">
        <v>304</v>
      </c>
      <c r="F573">
        <v>2001</v>
      </c>
      <c r="G573">
        <v>1</v>
      </c>
      <c r="H573">
        <v>0</v>
      </c>
      <c r="L573">
        <v>8</v>
      </c>
      <c r="M573">
        <v>0</v>
      </c>
    </row>
    <row r="574" spans="1:13" ht="15.75" customHeight="1" x14ac:dyDescent="0.2">
      <c r="A574">
        <f t="shared" si="16"/>
        <v>1</v>
      </c>
      <c r="B574" t="s">
        <v>125</v>
      </c>
      <c r="C574" t="s">
        <v>95</v>
      </c>
      <c r="D574" t="s">
        <v>281</v>
      </c>
      <c r="E574" t="s">
        <v>256</v>
      </c>
      <c r="F574">
        <v>2001</v>
      </c>
      <c r="G574">
        <v>1</v>
      </c>
      <c r="H574">
        <v>0</v>
      </c>
      <c r="L574">
        <v>7</v>
      </c>
      <c r="M574">
        <v>0</v>
      </c>
    </row>
    <row r="575" spans="1:13" ht="15.75" customHeight="1" x14ac:dyDescent="0.2">
      <c r="A575">
        <f t="shared" si="16"/>
        <v>1</v>
      </c>
      <c r="B575" t="s">
        <v>125</v>
      </c>
      <c r="C575" t="s">
        <v>95</v>
      </c>
      <c r="D575" t="s">
        <v>281</v>
      </c>
      <c r="E575" t="s">
        <v>294</v>
      </c>
      <c r="F575">
        <v>2005</v>
      </c>
      <c r="G575">
        <v>1</v>
      </c>
      <c r="H575">
        <v>0</v>
      </c>
      <c r="L575">
        <v>6</v>
      </c>
      <c r="M575">
        <v>0</v>
      </c>
    </row>
    <row r="576" spans="1:13" ht="15.75" customHeight="1" x14ac:dyDescent="0.2">
      <c r="A576">
        <f t="shared" si="16"/>
        <v>1</v>
      </c>
      <c r="B576" t="s">
        <v>125</v>
      </c>
      <c r="C576" t="s">
        <v>95</v>
      </c>
      <c r="D576" t="s">
        <v>281</v>
      </c>
      <c r="E576" t="s">
        <v>264</v>
      </c>
      <c r="F576">
        <v>2007</v>
      </c>
      <c r="G576">
        <v>1</v>
      </c>
      <c r="H576">
        <v>0</v>
      </c>
      <c r="L576">
        <v>5</v>
      </c>
      <c r="M576">
        <v>0</v>
      </c>
    </row>
    <row r="577" spans="1:13" ht="15.75" customHeight="1" x14ac:dyDescent="0.2">
      <c r="A577">
        <f t="shared" si="16"/>
        <v>1</v>
      </c>
      <c r="B577" t="s">
        <v>125</v>
      </c>
      <c r="C577" t="s">
        <v>95</v>
      </c>
      <c r="D577" t="s">
        <v>281</v>
      </c>
      <c r="E577" t="s">
        <v>250</v>
      </c>
      <c r="F577">
        <v>2008</v>
      </c>
      <c r="G577">
        <v>1</v>
      </c>
      <c r="H577">
        <v>0</v>
      </c>
      <c r="L577">
        <v>4</v>
      </c>
      <c r="M577">
        <v>0</v>
      </c>
    </row>
    <row r="578" spans="1:13" ht="15.75" customHeight="1" x14ac:dyDescent="0.2">
      <c r="A578">
        <f t="shared" si="16"/>
        <v>1</v>
      </c>
      <c r="B578" t="s">
        <v>125</v>
      </c>
      <c r="C578" t="s">
        <v>95</v>
      </c>
      <c r="D578" t="s">
        <v>281</v>
      </c>
      <c r="E578" t="s">
        <v>258</v>
      </c>
      <c r="F578">
        <v>2010</v>
      </c>
      <c r="G578">
        <v>1</v>
      </c>
      <c r="H578">
        <v>0</v>
      </c>
      <c r="L578">
        <v>3</v>
      </c>
      <c r="M578">
        <v>0</v>
      </c>
    </row>
    <row r="579" spans="1:13" ht="15.75" customHeight="1" x14ac:dyDescent="0.2">
      <c r="A579">
        <f t="shared" si="16"/>
        <v>1</v>
      </c>
      <c r="B579" t="s">
        <v>125</v>
      </c>
      <c r="C579" t="s">
        <v>95</v>
      </c>
      <c r="D579" t="s">
        <v>281</v>
      </c>
      <c r="E579" t="s">
        <v>250</v>
      </c>
      <c r="F579">
        <v>2011</v>
      </c>
      <c r="G579">
        <v>1</v>
      </c>
      <c r="H579">
        <v>0</v>
      </c>
      <c r="L579">
        <v>2</v>
      </c>
      <c r="M579">
        <v>0</v>
      </c>
    </row>
    <row r="580" spans="1:13" ht="15.75" customHeight="1" x14ac:dyDescent="0.2">
      <c r="A580">
        <f t="shared" si="16"/>
        <v>0</v>
      </c>
      <c r="B580" t="s">
        <v>125</v>
      </c>
      <c r="C580" t="s">
        <v>95</v>
      </c>
      <c r="D580" t="s">
        <v>281</v>
      </c>
      <c r="E580" t="s">
        <v>256</v>
      </c>
      <c r="F580">
        <v>2013</v>
      </c>
      <c r="G580">
        <v>1</v>
      </c>
      <c r="H580">
        <v>0</v>
      </c>
      <c r="L580">
        <v>1</v>
      </c>
      <c r="M580">
        <v>0</v>
      </c>
    </row>
    <row r="581" spans="1:13" ht="15.75" customHeight="1" x14ac:dyDescent="0.2">
      <c r="A581">
        <f t="shared" si="16"/>
        <v>0</v>
      </c>
      <c r="B581" t="s">
        <v>263</v>
      </c>
      <c r="C581" t="s">
        <v>158</v>
      </c>
      <c r="D581" t="s">
        <v>281</v>
      </c>
      <c r="E581" t="s">
        <v>270</v>
      </c>
      <c r="F581">
        <v>2009</v>
      </c>
      <c r="G581">
        <v>1</v>
      </c>
      <c r="H581">
        <v>1</v>
      </c>
      <c r="I581" t="str">
        <f>IF(H581=1,B581,"")</f>
        <v xml:space="preserve">Samoa </v>
      </c>
      <c r="L581">
        <v>1</v>
      </c>
      <c r="M581">
        <v>1</v>
      </c>
    </row>
    <row r="582" spans="1:13" ht="15.75" customHeight="1" x14ac:dyDescent="0.2">
      <c r="A582">
        <f t="shared" si="16"/>
        <v>1</v>
      </c>
      <c r="B582" t="s">
        <v>126</v>
      </c>
      <c r="C582" t="s">
        <v>95</v>
      </c>
      <c r="D582" t="s">
        <v>151</v>
      </c>
      <c r="E582">
        <v>2</v>
      </c>
      <c r="F582">
        <v>2000</v>
      </c>
      <c r="G582">
        <v>1</v>
      </c>
      <c r="H582">
        <v>1</v>
      </c>
      <c r="I582" t="str">
        <f>IF(H582=1,B582,"")</f>
        <v>Sao Tome and Principe</v>
      </c>
      <c r="K582">
        <v>2000</v>
      </c>
      <c r="L582">
        <v>4</v>
      </c>
      <c r="M582">
        <v>1</v>
      </c>
    </row>
    <row r="583" spans="1:13" ht="15.75" customHeight="1" x14ac:dyDescent="0.2">
      <c r="A583">
        <f t="shared" si="16"/>
        <v>1</v>
      </c>
      <c r="B583" t="s">
        <v>126</v>
      </c>
      <c r="C583" t="s">
        <v>95</v>
      </c>
      <c r="D583" t="s">
        <v>151</v>
      </c>
      <c r="E583">
        <v>3</v>
      </c>
      <c r="F583">
        <v>2006</v>
      </c>
      <c r="G583">
        <v>1</v>
      </c>
      <c r="H583">
        <v>0</v>
      </c>
      <c r="I583" t="str">
        <f>IF(H583=1,B583,"")</f>
        <v/>
      </c>
      <c r="K583">
        <v>2006</v>
      </c>
      <c r="L583">
        <v>3</v>
      </c>
      <c r="M583">
        <v>0</v>
      </c>
    </row>
    <row r="584" spans="1:13" ht="15.75" customHeight="1" x14ac:dyDescent="0.2">
      <c r="A584">
        <f t="shared" si="16"/>
        <v>1</v>
      </c>
      <c r="B584" t="s">
        <v>126</v>
      </c>
      <c r="C584" t="s">
        <v>95</v>
      </c>
      <c r="D584" t="s">
        <v>281</v>
      </c>
      <c r="E584" t="s">
        <v>293</v>
      </c>
      <c r="F584">
        <v>2008</v>
      </c>
      <c r="G584">
        <v>1</v>
      </c>
      <c r="H584">
        <v>1</v>
      </c>
      <c r="I584" t="str">
        <f>IF(H584=1,B584,"")</f>
        <v>Sao Tome and Principe</v>
      </c>
      <c r="L584">
        <v>2</v>
      </c>
      <c r="M584">
        <v>0</v>
      </c>
    </row>
    <row r="585" spans="1:13" ht="15.75" customHeight="1" x14ac:dyDescent="0.2">
      <c r="A585">
        <f t="shared" ref="A585:A648" si="18">IF(B585=B586,1,0)</f>
        <v>0</v>
      </c>
      <c r="B585" s="97" t="s">
        <v>126</v>
      </c>
      <c r="C585" s="97"/>
      <c r="D585" s="97" t="s">
        <v>281</v>
      </c>
      <c r="E585" s="96" t="s">
        <v>295</v>
      </c>
      <c r="F585" s="97">
        <v>2014</v>
      </c>
      <c r="G585" s="97">
        <v>1</v>
      </c>
      <c r="H585" s="97">
        <v>0</v>
      </c>
      <c r="I585" s="97"/>
      <c r="J585" s="97"/>
      <c r="K585" s="97"/>
      <c r="L585" s="97">
        <v>1</v>
      </c>
      <c r="M585">
        <v>0</v>
      </c>
    </row>
    <row r="586" spans="1:13" ht="15.75" customHeight="1" x14ac:dyDescent="0.2">
      <c r="A586">
        <f t="shared" si="18"/>
        <v>1</v>
      </c>
      <c r="B586" t="s">
        <v>127</v>
      </c>
      <c r="C586" t="s">
        <v>95</v>
      </c>
      <c r="D586" t="s">
        <v>281</v>
      </c>
      <c r="E586" t="s">
        <v>260</v>
      </c>
      <c r="F586">
        <v>1986</v>
      </c>
      <c r="G586">
        <v>1</v>
      </c>
      <c r="H586">
        <v>1</v>
      </c>
      <c r="I586" t="str">
        <f>IF(H586=1,B586,"")</f>
        <v>Senegal</v>
      </c>
      <c r="L586">
        <v>14</v>
      </c>
      <c r="M586">
        <v>1</v>
      </c>
    </row>
    <row r="587" spans="1:13" ht="15.75" customHeight="1" x14ac:dyDescent="0.2">
      <c r="A587">
        <f t="shared" si="18"/>
        <v>1</v>
      </c>
      <c r="B587" t="s">
        <v>127</v>
      </c>
      <c r="C587" t="s">
        <v>95</v>
      </c>
      <c r="D587" t="s">
        <v>281</v>
      </c>
      <c r="E587" t="s">
        <v>260</v>
      </c>
      <c r="F587">
        <v>1993</v>
      </c>
      <c r="G587">
        <v>1</v>
      </c>
      <c r="H587">
        <v>0</v>
      </c>
      <c r="L587">
        <v>13</v>
      </c>
      <c r="M587">
        <v>0</v>
      </c>
    </row>
    <row r="588" spans="1:13" ht="15.75" customHeight="1" x14ac:dyDescent="0.2">
      <c r="A588">
        <f t="shared" si="18"/>
        <v>1</v>
      </c>
      <c r="B588" t="s">
        <v>127</v>
      </c>
      <c r="C588" t="s">
        <v>95</v>
      </c>
      <c r="D588" t="s">
        <v>151</v>
      </c>
      <c r="E588">
        <v>1</v>
      </c>
      <c r="F588">
        <v>1995</v>
      </c>
      <c r="G588">
        <v>1</v>
      </c>
      <c r="H588">
        <v>1</v>
      </c>
      <c r="I588" t="str">
        <f>IF(H588=1,B588,"")</f>
        <v>Senegal</v>
      </c>
      <c r="K588">
        <v>1995</v>
      </c>
      <c r="L588">
        <v>12</v>
      </c>
      <c r="M588">
        <v>0</v>
      </c>
    </row>
    <row r="589" spans="1:13" ht="15.75" customHeight="1" x14ac:dyDescent="0.2">
      <c r="A589">
        <f t="shared" si="18"/>
        <v>1</v>
      </c>
      <c r="B589" t="s">
        <v>127</v>
      </c>
      <c r="C589" t="s">
        <v>95</v>
      </c>
      <c r="D589" t="s">
        <v>281</v>
      </c>
      <c r="E589" t="s">
        <v>258</v>
      </c>
      <c r="F589">
        <v>1997</v>
      </c>
      <c r="G589">
        <v>1</v>
      </c>
      <c r="H589">
        <v>0</v>
      </c>
      <c r="L589">
        <v>11</v>
      </c>
      <c r="M589">
        <v>0</v>
      </c>
    </row>
    <row r="590" spans="1:13" ht="15.75" customHeight="1" x14ac:dyDescent="0.2">
      <c r="A590">
        <f t="shared" si="18"/>
        <v>1</v>
      </c>
      <c r="B590" t="s">
        <v>127</v>
      </c>
      <c r="C590" t="s">
        <v>95</v>
      </c>
      <c r="D590" t="s">
        <v>281</v>
      </c>
      <c r="E590" t="s">
        <v>296</v>
      </c>
      <c r="F590">
        <v>1999</v>
      </c>
      <c r="G590">
        <v>1</v>
      </c>
      <c r="H590">
        <v>0</v>
      </c>
      <c r="L590">
        <v>10</v>
      </c>
      <c r="M590">
        <v>0</v>
      </c>
    </row>
    <row r="591" spans="1:13" ht="15.75" customHeight="1" x14ac:dyDescent="0.2">
      <c r="A591">
        <f t="shared" si="18"/>
        <v>1</v>
      </c>
      <c r="B591" t="s">
        <v>127</v>
      </c>
      <c r="C591" t="s">
        <v>95</v>
      </c>
      <c r="D591" t="s">
        <v>151</v>
      </c>
      <c r="E591">
        <v>2</v>
      </c>
      <c r="F591">
        <v>2000</v>
      </c>
      <c r="G591">
        <v>1</v>
      </c>
      <c r="H591">
        <v>0</v>
      </c>
      <c r="I591" t="str">
        <f>IF(H591=1,B591,"")</f>
        <v/>
      </c>
      <c r="K591">
        <v>2000</v>
      </c>
      <c r="L591">
        <v>9</v>
      </c>
      <c r="M591">
        <v>0</v>
      </c>
    </row>
    <row r="592" spans="1:13" x14ac:dyDescent="0.2">
      <c r="A592">
        <f t="shared" si="18"/>
        <v>1</v>
      </c>
      <c r="B592" t="s">
        <v>127</v>
      </c>
      <c r="C592" t="s">
        <v>95</v>
      </c>
      <c r="D592" t="s">
        <v>281</v>
      </c>
      <c r="E592" t="s">
        <v>294</v>
      </c>
      <c r="F592">
        <v>2005</v>
      </c>
      <c r="G592">
        <v>1</v>
      </c>
      <c r="H592">
        <v>0</v>
      </c>
      <c r="L592">
        <v>8</v>
      </c>
      <c r="M592">
        <v>0</v>
      </c>
    </row>
    <row r="593" spans="1:13" ht="15.75" customHeight="1" x14ac:dyDescent="0.2">
      <c r="A593">
        <f t="shared" si="18"/>
        <v>1</v>
      </c>
      <c r="B593" t="s">
        <v>127</v>
      </c>
      <c r="C593" t="s">
        <v>95</v>
      </c>
      <c r="D593" t="s">
        <v>281</v>
      </c>
      <c r="E593" t="s">
        <v>294</v>
      </c>
      <c r="F593">
        <v>2006</v>
      </c>
      <c r="G593">
        <v>1</v>
      </c>
      <c r="H593">
        <v>0</v>
      </c>
      <c r="L593">
        <v>7</v>
      </c>
      <c r="M593">
        <v>0</v>
      </c>
    </row>
    <row r="594" spans="1:13" ht="15.75" customHeight="1" x14ac:dyDescent="0.2">
      <c r="A594">
        <f t="shared" si="18"/>
        <v>1</v>
      </c>
      <c r="B594" t="s">
        <v>127</v>
      </c>
      <c r="C594" t="s">
        <v>95</v>
      </c>
      <c r="D594" t="s">
        <v>281</v>
      </c>
      <c r="E594" t="s">
        <v>294</v>
      </c>
      <c r="F594">
        <v>2008</v>
      </c>
      <c r="G594">
        <v>1</v>
      </c>
      <c r="H594">
        <v>0</v>
      </c>
      <c r="L594">
        <v>6</v>
      </c>
      <c r="M594">
        <v>0</v>
      </c>
    </row>
    <row r="595" spans="1:13" ht="15.75" customHeight="1" x14ac:dyDescent="0.2">
      <c r="A595">
        <f t="shared" si="18"/>
        <v>1</v>
      </c>
      <c r="B595" t="s">
        <v>127</v>
      </c>
      <c r="C595" t="s">
        <v>95</v>
      </c>
      <c r="D595" t="s">
        <v>281</v>
      </c>
      <c r="E595" t="s">
        <v>294</v>
      </c>
      <c r="F595">
        <v>2010</v>
      </c>
      <c r="G595">
        <v>1</v>
      </c>
      <c r="H595">
        <v>0</v>
      </c>
      <c r="L595">
        <v>5</v>
      </c>
      <c r="M595">
        <v>0</v>
      </c>
    </row>
    <row r="596" spans="1:13" ht="15.75" customHeight="1" x14ac:dyDescent="0.2">
      <c r="A596">
        <f t="shared" si="18"/>
        <v>1</v>
      </c>
      <c r="B596" t="s">
        <v>127</v>
      </c>
      <c r="C596" t="s">
        <v>95</v>
      </c>
      <c r="D596" t="s">
        <v>281</v>
      </c>
      <c r="E596" t="s">
        <v>260</v>
      </c>
      <c r="F596">
        <v>2012</v>
      </c>
      <c r="G596">
        <v>1</v>
      </c>
      <c r="H596">
        <v>0</v>
      </c>
      <c r="L596">
        <v>4</v>
      </c>
      <c r="M596">
        <v>0</v>
      </c>
    </row>
    <row r="597" spans="1:13" ht="15.75" customHeight="1" x14ac:dyDescent="0.2">
      <c r="A597">
        <f t="shared" si="18"/>
        <v>1</v>
      </c>
      <c r="B597" s="105" t="s">
        <v>127</v>
      </c>
      <c r="C597" s="105" t="s">
        <v>95</v>
      </c>
      <c r="D597" s="105" t="s">
        <v>281</v>
      </c>
      <c r="E597" s="105" t="s">
        <v>275</v>
      </c>
      <c r="F597" s="105">
        <v>2012</v>
      </c>
      <c r="G597" s="105">
        <v>1</v>
      </c>
      <c r="H597" s="105">
        <v>0</v>
      </c>
      <c r="I597" s="105"/>
      <c r="J597" s="105"/>
      <c r="K597" s="105"/>
      <c r="L597" s="105">
        <v>3</v>
      </c>
      <c r="M597" s="105">
        <v>0</v>
      </c>
    </row>
    <row r="598" spans="1:13" ht="15.75" customHeight="1" x14ac:dyDescent="0.2">
      <c r="A598">
        <f t="shared" si="18"/>
        <v>1</v>
      </c>
      <c r="B598" t="s">
        <v>127</v>
      </c>
      <c r="C598" t="s">
        <v>95</v>
      </c>
      <c r="D598" t="s">
        <v>281</v>
      </c>
      <c r="E598" t="s">
        <v>295</v>
      </c>
      <c r="F598">
        <v>2013</v>
      </c>
      <c r="G598">
        <v>1</v>
      </c>
      <c r="H598">
        <v>0</v>
      </c>
      <c r="L598">
        <v>2</v>
      </c>
      <c r="M598">
        <v>0</v>
      </c>
    </row>
    <row r="599" spans="1:13" ht="15.75" customHeight="1" x14ac:dyDescent="0.2">
      <c r="A599">
        <f t="shared" si="18"/>
        <v>0</v>
      </c>
      <c r="B599" s="97" t="s">
        <v>127</v>
      </c>
      <c r="C599" s="97"/>
      <c r="D599" s="97" t="s">
        <v>281</v>
      </c>
      <c r="E599" s="96" t="s">
        <v>485</v>
      </c>
      <c r="F599" s="97">
        <v>2014</v>
      </c>
      <c r="G599" s="97">
        <v>1</v>
      </c>
      <c r="H599" s="97">
        <v>0</v>
      </c>
      <c r="I599" s="97"/>
      <c r="J599" s="97"/>
      <c r="K599" s="97"/>
      <c r="L599" s="97">
        <v>1</v>
      </c>
      <c r="M599">
        <v>0</v>
      </c>
    </row>
    <row r="600" spans="1:13" ht="15.75" customHeight="1" x14ac:dyDescent="0.2">
      <c r="A600">
        <f t="shared" si="18"/>
        <v>1</v>
      </c>
      <c r="B600" t="s">
        <v>41</v>
      </c>
      <c r="C600" t="s">
        <v>19</v>
      </c>
      <c r="D600" t="s">
        <v>244</v>
      </c>
      <c r="E600" t="s">
        <v>230</v>
      </c>
      <c r="F600">
        <v>2000</v>
      </c>
      <c r="G600">
        <v>1</v>
      </c>
      <c r="H600">
        <v>1</v>
      </c>
      <c r="I600" t="str">
        <f>IF(H600=1,B600,"")</f>
        <v>Serbia</v>
      </c>
      <c r="L600">
        <v>9</v>
      </c>
      <c r="M600">
        <v>1</v>
      </c>
    </row>
    <row r="601" spans="1:13" ht="15.75" customHeight="1" x14ac:dyDescent="0.2">
      <c r="A601">
        <f t="shared" si="18"/>
        <v>1</v>
      </c>
      <c r="B601" t="s">
        <v>41</v>
      </c>
      <c r="C601" t="s">
        <v>19</v>
      </c>
      <c r="D601" t="s">
        <v>244</v>
      </c>
      <c r="E601" t="s">
        <v>203</v>
      </c>
      <c r="F601">
        <v>2002</v>
      </c>
      <c r="G601">
        <v>1</v>
      </c>
      <c r="H601">
        <v>0</v>
      </c>
      <c r="L601">
        <v>8</v>
      </c>
      <c r="M601">
        <v>0</v>
      </c>
    </row>
    <row r="602" spans="1:13" ht="15.75" customHeight="1" x14ac:dyDescent="0.2">
      <c r="A602">
        <f t="shared" si="18"/>
        <v>1</v>
      </c>
      <c r="B602" t="s">
        <v>41</v>
      </c>
      <c r="C602" t="s">
        <v>19</v>
      </c>
      <c r="D602" t="s">
        <v>244</v>
      </c>
      <c r="E602" t="s">
        <v>203</v>
      </c>
      <c r="F602">
        <v>2003</v>
      </c>
      <c r="G602">
        <v>1</v>
      </c>
      <c r="H602">
        <v>0</v>
      </c>
      <c r="L602">
        <v>7</v>
      </c>
      <c r="M602">
        <v>0</v>
      </c>
    </row>
    <row r="603" spans="1:13" ht="15.75" customHeight="1" x14ac:dyDescent="0.2">
      <c r="A603">
        <f t="shared" si="18"/>
        <v>1</v>
      </c>
      <c r="B603" t="s">
        <v>41</v>
      </c>
      <c r="C603" t="s">
        <v>19</v>
      </c>
      <c r="D603" t="s">
        <v>151</v>
      </c>
      <c r="E603">
        <v>3</v>
      </c>
      <c r="F603">
        <v>2006</v>
      </c>
      <c r="G603">
        <v>1</v>
      </c>
      <c r="H603">
        <v>1</v>
      </c>
      <c r="I603" t="str">
        <f>IF(H603=1,B603,"")</f>
        <v>Serbia</v>
      </c>
      <c r="K603">
        <v>2005</v>
      </c>
      <c r="L603">
        <v>6</v>
      </c>
      <c r="M603">
        <v>0</v>
      </c>
    </row>
    <row r="604" spans="1:13" ht="15.75" customHeight="1" x14ac:dyDescent="0.2">
      <c r="A604">
        <f t="shared" si="18"/>
        <v>1</v>
      </c>
      <c r="B604" t="s">
        <v>41</v>
      </c>
      <c r="C604" t="s">
        <v>19</v>
      </c>
      <c r="D604" t="s">
        <v>244</v>
      </c>
      <c r="E604" t="s">
        <v>203</v>
      </c>
      <c r="F604">
        <v>2007</v>
      </c>
      <c r="G604">
        <v>1</v>
      </c>
      <c r="H604">
        <v>0</v>
      </c>
      <c r="L604">
        <v>5</v>
      </c>
      <c r="M604">
        <v>0</v>
      </c>
    </row>
    <row r="605" spans="1:13" ht="15.75" customHeight="1" x14ac:dyDescent="0.2">
      <c r="A605">
        <f t="shared" si="18"/>
        <v>1</v>
      </c>
      <c r="B605" t="s">
        <v>41</v>
      </c>
      <c r="C605" t="s">
        <v>19</v>
      </c>
      <c r="D605" t="s">
        <v>151</v>
      </c>
      <c r="E605">
        <v>4</v>
      </c>
      <c r="F605">
        <v>2010</v>
      </c>
      <c r="G605">
        <v>1</v>
      </c>
      <c r="H605">
        <v>0</v>
      </c>
      <c r="I605" t="str">
        <f>IF(H605=1,B605,"")</f>
        <v/>
      </c>
      <c r="K605">
        <v>2010</v>
      </c>
      <c r="L605">
        <v>4</v>
      </c>
      <c r="M605">
        <v>0</v>
      </c>
    </row>
    <row r="606" spans="1:13" ht="15.75" customHeight="1" x14ac:dyDescent="0.2">
      <c r="A606">
        <f t="shared" si="18"/>
        <v>1</v>
      </c>
      <c r="B606" t="s">
        <v>41</v>
      </c>
      <c r="C606" t="s">
        <v>19</v>
      </c>
      <c r="D606" t="s">
        <v>151</v>
      </c>
      <c r="E606">
        <v>4</v>
      </c>
      <c r="F606">
        <v>2010</v>
      </c>
      <c r="G606">
        <v>1</v>
      </c>
      <c r="H606">
        <v>0</v>
      </c>
      <c r="I606" t="str">
        <f>IF(H606=1,B606,"")</f>
        <v/>
      </c>
      <c r="J606" t="s">
        <v>194</v>
      </c>
      <c r="K606">
        <v>2010</v>
      </c>
      <c r="L606">
        <v>3</v>
      </c>
      <c r="M606">
        <v>0</v>
      </c>
    </row>
    <row r="607" spans="1:13" ht="15.75" customHeight="1" x14ac:dyDescent="0.2">
      <c r="A607">
        <f t="shared" si="18"/>
        <v>1</v>
      </c>
      <c r="B607" s="97" t="s">
        <v>41</v>
      </c>
      <c r="C607" s="97" t="s">
        <v>154</v>
      </c>
      <c r="D607" s="98" t="s">
        <v>151</v>
      </c>
      <c r="E607" s="104"/>
      <c r="F607" s="98">
        <v>2014</v>
      </c>
      <c r="G607" s="99">
        <v>1</v>
      </c>
      <c r="H607" s="98">
        <v>0</v>
      </c>
      <c r="I607" s="97"/>
      <c r="J607" s="97"/>
      <c r="K607" s="98">
        <v>2014</v>
      </c>
      <c r="L607" s="97">
        <v>2</v>
      </c>
      <c r="M607">
        <v>0</v>
      </c>
    </row>
    <row r="608" spans="1:13" ht="15.75" customHeight="1" x14ac:dyDescent="0.2">
      <c r="A608">
        <f t="shared" si="18"/>
        <v>0</v>
      </c>
      <c r="B608" s="97" t="s">
        <v>41</v>
      </c>
      <c r="C608" s="97" t="s">
        <v>154</v>
      </c>
      <c r="D608" s="98" t="s">
        <v>151</v>
      </c>
      <c r="E608" s="104"/>
      <c r="F608" s="98">
        <v>2014</v>
      </c>
      <c r="G608" s="99">
        <v>1</v>
      </c>
      <c r="H608" s="98">
        <v>0</v>
      </c>
      <c r="I608" s="97"/>
      <c r="J608" s="97"/>
      <c r="K608" s="98">
        <v>2014</v>
      </c>
      <c r="L608" s="97">
        <v>1</v>
      </c>
      <c r="M608">
        <v>0</v>
      </c>
    </row>
    <row r="609" spans="1:13" ht="15.75" customHeight="1" x14ac:dyDescent="0.2">
      <c r="A609">
        <f t="shared" si="18"/>
        <v>1</v>
      </c>
      <c r="B609" t="s">
        <v>129</v>
      </c>
      <c r="C609" t="s">
        <v>95</v>
      </c>
      <c r="D609" t="s">
        <v>151</v>
      </c>
      <c r="E609">
        <v>2</v>
      </c>
      <c r="F609">
        <v>2000</v>
      </c>
      <c r="G609">
        <v>1</v>
      </c>
      <c r="H609">
        <v>1</v>
      </c>
      <c r="I609" t="str">
        <f t="shared" ref="I609:I614" si="19">IF(H609=1,B609,"")</f>
        <v>Sierra Leone</v>
      </c>
      <c r="K609">
        <v>2000</v>
      </c>
      <c r="L609">
        <v>8</v>
      </c>
      <c r="M609">
        <v>1</v>
      </c>
    </row>
    <row r="610" spans="1:13" ht="15.75" customHeight="1" x14ac:dyDescent="0.2">
      <c r="A610">
        <f t="shared" si="18"/>
        <v>1</v>
      </c>
      <c r="B610" t="s">
        <v>129</v>
      </c>
      <c r="C610" t="s">
        <v>95</v>
      </c>
      <c r="D610" t="s">
        <v>450</v>
      </c>
      <c r="E610" t="s">
        <v>446</v>
      </c>
      <c r="F610">
        <v>2004</v>
      </c>
      <c r="G610">
        <v>1</v>
      </c>
      <c r="H610">
        <v>1</v>
      </c>
      <c r="I610" t="str">
        <f t="shared" si="19"/>
        <v>Sierra Leone</v>
      </c>
      <c r="K610">
        <v>2003</v>
      </c>
      <c r="L610">
        <v>7</v>
      </c>
      <c r="M610">
        <v>0</v>
      </c>
    </row>
    <row r="611" spans="1:13" ht="15.75" customHeight="1" x14ac:dyDescent="0.2">
      <c r="A611">
        <f t="shared" si="18"/>
        <v>1</v>
      </c>
      <c r="B611" t="s">
        <v>129</v>
      </c>
      <c r="C611" t="s">
        <v>95</v>
      </c>
      <c r="D611" t="s">
        <v>151</v>
      </c>
      <c r="E611">
        <v>3</v>
      </c>
      <c r="F611">
        <v>2005</v>
      </c>
      <c r="G611">
        <v>1</v>
      </c>
      <c r="H611">
        <v>0</v>
      </c>
      <c r="I611" t="str">
        <f t="shared" si="19"/>
        <v/>
      </c>
      <c r="K611">
        <v>2005</v>
      </c>
      <c r="L611">
        <v>6</v>
      </c>
      <c r="M611">
        <v>0</v>
      </c>
    </row>
    <row r="612" spans="1:13" ht="15.75" customHeight="1" x14ac:dyDescent="0.2">
      <c r="A612">
        <f t="shared" si="18"/>
        <v>1</v>
      </c>
      <c r="B612" t="s">
        <v>129</v>
      </c>
      <c r="C612" t="s">
        <v>95</v>
      </c>
      <c r="D612" t="s">
        <v>304</v>
      </c>
      <c r="E612" t="s">
        <v>304</v>
      </c>
      <c r="F612">
        <v>2007</v>
      </c>
      <c r="G612">
        <v>1</v>
      </c>
      <c r="H612">
        <v>1</v>
      </c>
      <c r="I612" t="str">
        <f t="shared" si="19"/>
        <v>Sierra Leone</v>
      </c>
      <c r="L612">
        <v>9</v>
      </c>
      <c r="M612">
        <v>0</v>
      </c>
    </row>
    <row r="613" spans="1:13" ht="15.75" customHeight="1" x14ac:dyDescent="0.2">
      <c r="A613">
        <f t="shared" si="18"/>
        <v>1</v>
      </c>
      <c r="B613" t="s">
        <v>129</v>
      </c>
      <c r="C613" t="s">
        <v>95</v>
      </c>
      <c r="D613" t="s">
        <v>281</v>
      </c>
      <c r="E613" t="s">
        <v>294</v>
      </c>
      <c r="F613">
        <v>2008</v>
      </c>
      <c r="G613">
        <v>1</v>
      </c>
      <c r="H613">
        <v>1</v>
      </c>
      <c r="I613" t="str">
        <f t="shared" si="19"/>
        <v>Sierra Leone</v>
      </c>
      <c r="L613">
        <v>5</v>
      </c>
      <c r="M613">
        <v>0</v>
      </c>
    </row>
    <row r="614" spans="1:13" ht="15.75" customHeight="1" x14ac:dyDescent="0.2">
      <c r="A614">
        <f t="shared" si="18"/>
        <v>1</v>
      </c>
      <c r="B614" t="s">
        <v>129</v>
      </c>
      <c r="C614" t="s">
        <v>95</v>
      </c>
      <c r="D614" t="s">
        <v>151</v>
      </c>
      <c r="E614">
        <v>4</v>
      </c>
      <c r="F614">
        <v>2010</v>
      </c>
      <c r="G614">
        <v>1</v>
      </c>
      <c r="H614">
        <v>0</v>
      </c>
      <c r="I614" t="str">
        <f t="shared" si="19"/>
        <v/>
      </c>
      <c r="K614">
        <v>2010</v>
      </c>
      <c r="L614">
        <v>4</v>
      </c>
      <c r="M614">
        <v>0</v>
      </c>
    </row>
    <row r="615" spans="1:13" ht="15.75" customHeight="1" x14ac:dyDescent="0.2">
      <c r="A615">
        <f t="shared" si="18"/>
        <v>1</v>
      </c>
      <c r="B615" t="s">
        <v>129</v>
      </c>
      <c r="C615" t="s">
        <v>95</v>
      </c>
      <c r="D615" t="s">
        <v>450</v>
      </c>
      <c r="E615" t="s">
        <v>446</v>
      </c>
      <c r="F615">
        <v>2011</v>
      </c>
      <c r="G615">
        <v>1</v>
      </c>
      <c r="H615">
        <v>0</v>
      </c>
      <c r="L615">
        <v>3</v>
      </c>
      <c r="M615">
        <v>0</v>
      </c>
    </row>
    <row r="616" spans="1:13" ht="15.75" customHeight="1" x14ac:dyDescent="0.2">
      <c r="A616">
        <f t="shared" si="18"/>
        <v>1</v>
      </c>
      <c r="B616" t="s">
        <v>129</v>
      </c>
      <c r="C616" t="s">
        <v>95</v>
      </c>
      <c r="D616" t="s">
        <v>281</v>
      </c>
      <c r="E616" t="s">
        <v>273</v>
      </c>
      <c r="F616">
        <v>2013</v>
      </c>
      <c r="G616">
        <v>1</v>
      </c>
      <c r="H616">
        <v>0</v>
      </c>
      <c r="L616">
        <v>2</v>
      </c>
      <c r="M616">
        <v>0</v>
      </c>
    </row>
    <row r="617" spans="1:13" ht="15.75" customHeight="1" x14ac:dyDescent="0.2">
      <c r="A617">
        <f t="shared" si="18"/>
        <v>0</v>
      </c>
      <c r="B617" s="105" t="s">
        <v>129</v>
      </c>
      <c r="C617" s="105" t="s">
        <v>95</v>
      </c>
      <c r="D617" s="105" t="s">
        <v>281</v>
      </c>
      <c r="E617" s="105" t="s">
        <v>295</v>
      </c>
      <c r="F617" s="105">
        <v>2013</v>
      </c>
      <c r="G617" s="105">
        <v>1</v>
      </c>
      <c r="H617" s="105">
        <v>0</v>
      </c>
      <c r="I617" s="105"/>
      <c r="J617" s="105"/>
      <c r="K617" s="105"/>
      <c r="L617" s="105">
        <v>1</v>
      </c>
      <c r="M617" s="105">
        <v>0</v>
      </c>
    </row>
    <row r="618" spans="1:13" ht="15.75" customHeight="1" x14ac:dyDescent="0.2">
      <c r="A618">
        <f t="shared" si="18"/>
        <v>1</v>
      </c>
      <c r="B618" t="s">
        <v>166</v>
      </c>
      <c r="C618" t="s">
        <v>468</v>
      </c>
      <c r="D618" t="s">
        <v>151</v>
      </c>
      <c r="E618">
        <v>2</v>
      </c>
      <c r="F618">
        <v>1999</v>
      </c>
      <c r="G618">
        <v>1</v>
      </c>
      <c r="H618">
        <v>1</v>
      </c>
      <c r="I618" t="str">
        <f>IF(H618=1,B618,"")</f>
        <v>Somalia</v>
      </c>
      <c r="K618">
        <v>1999</v>
      </c>
      <c r="L618">
        <v>4</v>
      </c>
      <c r="M618">
        <v>1</v>
      </c>
    </row>
    <row r="619" spans="1:13" ht="15.75" customHeight="1" x14ac:dyDescent="0.2">
      <c r="A619">
        <f t="shared" si="18"/>
        <v>1</v>
      </c>
      <c r="B619" t="s">
        <v>166</v>
      </c>
      <c r="C619" t="s">
        <v>468</v>
      </c>
      <c r="D619" t="s">
        <v>151</v>
      </c>
      <c r="E619">
        <v>3</v>
      </c>
      <c r="F619">
        <v>2006</v>
      </c>
      <c r="G619">
        <v>1</v>
      </c>
      <c r="H619">
        <v>0</v>
      </c>
      <c r="I619" t="str">
        <f>IF(H619=1,B619,"")</f>
        <v/>
      </c>
      <c r="K619">
        <v>2006</v>
      </c>
      <c r="L619">
        <v>3</v>
      </c>
      <c r="M619">
        <v>0</v>
      </c>
    </row>
    <row r="620" spans="1:13" ht="15.75" customHeight="1" x14ac:dyDescent="0.2">
      <c r="A620">
        <f t="shared" si="18"/>
        <v>1</v>
      </c>
      <c r="B620" t="s">
        <v>166</v>
      </c>
      <c r="C620" t="s">
        <v>468</v>
      </c>
      <c r="D620" t="s">
        <v>151</v>
      </c>
      <c r="E620">
        <v>4</v>
      </c>
      <c r="F620">
        <v>2011</v>
      </c>
      <c r="G620">
        <v>1</v>
      </c>
      <c r="H620">
        <v>0</v>
      </c>
      <c r="I620" t="s">
        <v>466</v>
      </c>
      <c r="L620">
        <v>2</v>
      </c>
      <c r="M620">
        <v>0</v>
      </c>
    </row>
    <row r="621" spans="1:13" ht="15.75" customHeight="1" x14ac:dyDescent="0.2">
      <c r="A621">
        <f t="shared" si="18"/>
        <v>0</v>
      </c>
      <c r="B621" t="s">
        <v>166</v>
      </c>
      <c r="C621" t="s">
        <v>468</v>
      </c>
      <c r="D621" t="s">
        <v>151</v>
      </c>
      <c r="E621">
        <v>4</v>
      </c>
      <c r="F621">
        <v>2011</v>
      </c>
      <c r="G621">
        <v>1</v>
      </c>
      <c r="H621">
        <v>0</v>
      </c>
      <c r="I621" t="s">
        <v>373</v>
      </c>
      <c r="L621">
        <v>1</v>
      </c>
      <c r="M621">
        <v>0</v>
      </c>
    </row>
    <row r="622" spans="1:13" ht="15.75" customHeight="1" x14ac:dyDescent="0.2">
      <c r="A622">
        <f t="shared" si="18"/>
        <v>1</v>
      </c>
      <c r="B622" t="s">
        <v>130</v>
      </c>
      <c r="C622" t="s">
        <v>95</v>
      </c>
      <c r="D622" t="s">
        <v>244</v>
      </c>
      <c r="E622" t="s">
        <v>209</v>
      </c>
      <c r="F622">
        <v>1993</v>
      </c>
      <c r="G622">
        <v>1</v>
      </c>
      <c r="H622">
        <v>1</v>
      </c>
      <c r="I622" t="str">
        <f>IF(H622=1,B622,"")</f>
        <v>South Africa</v>
      </c>
      <c r="L622">
        <v>3</v>
      </c>
      <c r="M622">
        <v>1</v>
      </c>
    </row>
    <row r="623" spans="1:13" ht="15.75" customHeight="1" x14ac:dyDescent="0.2">
      <c r="A623">
        <f t="shared" si="18"/>
        <v>1</v>
      </c>
      <c r="B623" t="s">
        <v>130</v>
      </c>
      <c r="C623" t="s">
        <v>95</v>
      </c>
      <c r="D623" t="s">
        <v>281</v>
      </c>
      <c r="E623" t="s">
        <v>293</v>
      </c>
      <c r="F623">
        <v>1998</v>
      </c>
      <c r="G623">
        <v>1</v>
      </c>
      <c r="H623">
        <v>1</v>
      </c>
      <c r="I623" t="str">
        <f>IF(H623=1,B623,"")</f>
        <v>South Africa</v>
      </c>
      <c r="L623">
        <v>2</v>
      </c>
      <c r="M623">
        <v>0</v>
      </c>
    </row>
    <row r="624" spans="1:13" ht="15.75" customHeight="1" x14ac:dyDescent="0.2">
      <c r="A624">
        <f t="shared" si="18"/>
        <v>0</v>
      </c>
      <c r="B624" t="s">
        <v>130</v>
      </c>
      <c r="C624" t="s">
        <v>95</v>
      </c>
      <c r="D624" t="s">
        <v>281</v>
      </c>
      <c r="E624" t="s">
        <v>294</v>
      </c>
      <c r="F624">
        <v>2003</v>
      </c>
      <c r="G624">
        <v>1</v>
      </c>
      <c r="H624">
        <v>0</v>
      </c>
      <c r="L624">
        <v>1</v>
      </c>
      <c r="M624">
        <v>0</v>
      </c>
    </row>
    <row r="625" spans="1:16" ht="15.75" customHeight="1" x14ac:dyDescent="0.2">
      <c r="A625">
        <f t="shared" si="18"/>
        <v>0</v>
      </c>
      <c r="B625" s="105" t="s">
        <v>322</v>
      </c>
      <c r="C625" s="105" t="s">
        <v>468</v>
      </c>
      <c r="D625" s="105" t="s">
        <v>151</v>
      </c>
      <c r="E625" s="105">
        <v>4</v>
      </c>
      <c r="F625" s="105">
        <v>2010</v>
      </c>
      <c r="G625" s="105">
        <v>1</v>
      </c>
      <c r="H625" s="105">
        <v>1</v>
      </c>
      <c r="I625" s="105" t="str">
        <f>IF(H625=1,B625,"")</f>
        <v>South Sudan</v>
      </c>
      <c r="J625" s="105"/>
      <c r="K625" s="105"/>
      <c r="L625" s="105">
        <v>1</v>
      </c>
      <c r="M625" s="105">
        <v>1</v>
      </c>
    </row>
    <row r="626" spans="1:16" x14ac:dyDescent="0.2">
      <c r="A626">
        <f t="shared" si="18"/>
        <v>1</v>
      </c>
      <c r="B626" t="s">
        <v>93</v>
      </c>
      <c r="C626" t="s">
        <v>87</v>
      </c>
      <c r="D626" t="s">
        <v>281</v>
      </c>
      <c r="E626" t="s">
        <v>294</v>
      </c>
      <c r="F626">
        <v>1987</v>
      </c>
      <c r="G626">
        <v>1</v>
      </c>
      <c r="H626">
        <v>1</v>
      </c>
      <c r="I626" t="str">
        <f>IF(H626=1,B626,"")</f>
        <v>Sri Lanka</v>
      </c>
      <c r="L626">
        <v>2</v>
      </c>
      <c r="M626">
        <v>1</v>
      </c>
    </row>
    <row r="627" spans="1:16" ht="15.75" customHeight="1" x14ac:dyDescent="0.2">
      <c r="A627">
        <f t="shared" si="18"/>
        <v>0</v>
      </c>
      <c r="B627" t="s">
        <v>93</v>
      </c>
      <c r="C627" t="s">
        <v>87</v>
      </c>
      <c r="D627" t="s">
        <v>281</v>
      </c>
      <c r="E627" t="s">
        <v>250</v>
      </c>
      <c r="F627">
        <v>2006</v>
      </c>
      <c r="G627">
        <v>1</v>
      </c>
      <c r="H627">
        <v>0</v>
      </c>
      <c r="L627">
        <v>1</v>
      </c>
      <c r="M627">
        <v>0</v>
      </c>
    </row>
    <row r="628" spans="1:16" ht="15.75" customHeight="1" x14ac:dyDescent="0.2">
      <c r="A628">
        <f t="shared" si="18"/>
        <v>1</v>
      </c>
      <c r="B628" t="s">
        <v>69</v>
      </c>
      <c r="C628" t="s">
        <v>469</v>
      </c>
      <c r="D628" t="s">
        <v>304</v>
      </c>
      <c r="E628" t="s">
        <v>304</v>
      </c>
      <c r="F628">
        <v>2004</v>
      </c>
      <c r="G628">
        <v>1</v>
      </c>
      <c r="H628">
        <v>0</v>
      </c>
      <c r="L628">
        <v>2</v>
      </c>
      <c r="M628">
        <v>1</v>
      </c>
    </row>
    <row r="629" spans="1:16" x14ac:dyDescent="0.2">
      <c r="A629">
        <f t="shared" si="18"/>
        <v>0</v>
      </c>
      <c r="B629" t="s">
        <v>69</v>
      </c>
      <c r="C629" t="s">
        <v>469</v>
      </c>
      <c r="D629" t="s">
        <v>151</v>
      </c>
      <c r="E629">
        <v>4</v>
      </c>
      <c r="F629">
        <v>2012</v>
      </c>
      <c r="G629">
        <v>1</v>
      </c>
      <c r="H629">
        <v>0</v>
      </c>
      <c r="L629">
        <v>1</v>
      </c>
      <c r="M629">
        <v>0</v>
      </c>
    </row>
    <row r="630" spans="1:16" ht="15.75" customHeight="1" x14ac:dyDescent="0.2">
      <c r="A630">
        <f t="shared" si="18"/>
        <v>1</v>
      </c>
      <c r="B630" t="s">
        <v>131</v>
      </c>
      <c r="C630" t="s">
        <v>468</v>
      </c>
      <c r="D630" t="s">
        <v>281</v>
      </c>
      <c r="E630" t="s">
        <v>294</v>
      </c>
      <c r="F630">
        <v>1990</v>
      </c>
      <c r="G630">
        <v>1</v>
      </c>
      <c r="H630">
        <v>1</v>
      </c>
      <c r="I630" t="str">
        <f>IF(H630=1,B630,"")</f>
        <v>Sudan</v>
      </c>
      <c r="L630">
        <v>4</v>
      </c>
      <c r="M630">
        <v>1</v>
      </c>
    </row>
    <row r="631" spans="1:16" ht="15.75" customHeight="1" x14ac:dyDescent="0.2">
      <c r="A631">
        <f t="shared" si="18"/>
        <v>1</v>
      </c>
      <c r="B631" t="s">
        <v>131</v>
      </c>
      <c r="C631" t="s">
        <v>468</v>
      </c>
      <c r="D631" t="s">
        <v>151</v>
      </c>
      <c r="E631">
        <v>2</v>
      </c>
      <c r="F631">
        <v>2000</v>
      </c>
      <c r="G631">
        <v>1</v>
      </c>
      <c r="H631">
        <v>1</v>
      </c>
      <c r="I631" t="str">
        <f>IF(H631=1,B631,"")</f>
        <v>Sudan</v>
      </c>
      <c r="K631">
        <v>2000</v>
      </c>
      <c r="L631">
        <v>3</v>
      </c>
      <c r="M631">
        <v>0</v>
      </c>
    </row>
    <row r="632" spans="1:16" ht="15.75" customHeight="1" x14ac:dyDescent="0.2">
      <c r="A632">
        <f t="shared" si="18"/>
        <v>1</v>
      </c>
      <c r="B632" t="s">
        <v>131</v>
      </c>
      <c r="C632" t="s">
        <v>468</v>
      </c>
      <c r="D632" t="s">
        <v>380</v>
      </c>
      <c r="E632" t="s">
        <v>336</v>
      </c>
      <c r="F632">
        <v>2006</v>
      </c>
      <c r="G632">
        <v>1</v>
      </c>
      <c r="H632">
        <v>1</v>
      </c>
      <c r="I632" t="str">
        <f>IF(H632=1,B632,"")</f>
        <v>Sudan</v>
      </c>
      <c r="L632">
        <v>2</v>
      </c>
      <c r="M632">
        <v>0</v>
      </c>
    </row>
    <row r="633" spans="1:16" ht="15.75" customHeight="1" x14ac:dyDescent="0.2">
      <c r="A633">
        <f t="shared" si="18"/>
        <v>0</v>
      </c>
      <c r="B633" s="105" t="s">
        <v>131</v>
      </c>
      <c r="C633" s="105" t="s">
        <v>468</v>
      </c>
      <c r="D633" s="105" t="s">
        <v>151</v>
      </c>
      <c r="E633" s="105">
        <v>4</v>
      </c>
      <c r="F633" s="105">
        <v>2010</v>
      </c>
      <c r="G633" s="105">
        <v>1</v>
      </c>
      <c r="H633" s="105">
        <v>0</v>
      </c>
      <c r="I633" s="105"/>
      <c r="J633" s="105"/>
      <c r="K633" s="105"/>
      <c r="L633" s="105">
        <v>1</v>
      </c>
      <c r="M633" s="105">
        <v>0</v>
      </c>
    </row>
    <row r="634" spans="1:16" ht="15.75" customHeight="1" x14ac:dyDescent="0.2">
      <c r="A634">
        <f t="shared" si="18"/>
        <v>1</v>
      </c>
      <c r="B634" t="s">
        <v>70</v>
      </c>
      <c r="C634" t="s">
        <v>469</v>
      </c>
      <c r="D634" t="s">
        <v>151</v>
      </c>
      <c r="E634">
        <v>2</v>
      </c>
      <c r="F634">
        <v>2000</v>
      </c>
      <c r="G634">
        <v>1</v>
      </c>
      <c r="H634">
        <v>1</v>
      </c>
      <c r="I634" t="str">
        <f t="shared" ref="I634:I647" si="20">IF(H634=1,B634,"")</f>
        <v>Suriname</v>
      </c>
      <c r="K634">
        <v>2000</v>
      </c>
      <c r="L634">
        <v>3</v>
      </c>
      <c r="M634">
        <v>1</v>
      </c>
    </row>
    <row r="635" spans="1:16" ht="15.75" customHeight="1" x14ac:dyDescent="0.2">
      <c r="A635">
        <f t="shared" si="18"/>
        <v>1</v>
      </c>
      <c r="B635" t="s">
        <v>70</v>
      </c>
      <c r="C635" t="s">
        <v>469</v>
      </c>
      <c r="D635" t="s">
        <v>151</v>
      </c>
      <c r="E635">
        <v>3</v>
      </c>
      <c r="F635">
        <v>2006</v>
      </c>
      <c r="G635">
        <v>1</v>
      </c>
      <c r="H635">
        <v>0</v>
      </c>
      <c r="I635" t="str">
        <f t="shared" si="20"/>
        <v/>
      </c>
      <c r="K635">
        <v>2006</v>
      </c>
      <c r="L635">
        <v>2</v>
      </c>
      <c r="M635">
        <v>0</v>
      </c>
    </row>
    <row r="636" spans="1:16" ht="15.75" customHeight="1" x14ac:dyDescent="0.2">
      <c r="A636">
        <f t="shared" si="18"/>
        <v>0</v>
      </c>
      <c r="B636" t="s">
        <v>70</v>
      </c>
      <c r="C636" t="s">
        <v>469</v>
      </c>
      <c r="D636" t="s">
        <v>151</v>
      </c>
      <c r="E636">
        <v>4</v>
      </c>
      <c r="F636">
        <v>2010</v>
      </c>
      <c r="G636">
        <v>1</v>
      </c>
      <c r="H636">
        <v>0</v>
      </c>
      <c r="I636" t="str">
        <f t="shared" si="20"/>
        <v/>
      </c>
      <c r="K636">
        <v>2010</v>
      </c>
      <c r="L636">
        <v>1</v>
      </c>
      <c r="M636">
        <v>0</v>
      </c>
      <c r="N636" s="93">
        <v>1991</v>
      </c>
      <c r="O636" s="93">
        <v>1992</v>
      </c>
      <c r="P636" s="93">
        <v>1993</v>
      </c>
    </row>
    <row r="637" spans="1:16" ht="15.75" customHeight="1" x14ac:dyDescent="0.2">
      <c r="A637">
        <f t="shared" si="18"/>
        <v>1</v>
      </c>
      <c r="B637" t="s">
        <v>132</v>
      </c>
      <c r="C637" t="s">
        <v>95</v>
      </c>
      <c r="D637" t="s">
        <v>151</v>
      </c>
      <c r="E637">
        <v>2</v>
      </c>
      <c r="F637">
        <v>2000</v>
      </c>
      <c r="G637">
        <v>1</v>
      </c>
      <c r="H637">
        <v>1</v>
      </c>
      <c r="I637" t="str">
        <f t="shared" si="20"/>
        <v>Swaziland</v>
      </c>
      <c r="K637">
        <v>2000</v>
      </c>
      <c r="L637">
        <v>3</v>
      </c>
      <c r="M637">
        <v>1</v>
      </c>
    </row>
    <row r="638" spans="1:16" ht="15.75" customHeight="1" x14ac:dyDescent="0.2">
      <c r="A638">
        <f t="shared" si="18"/>
        <v>1</v>
      </c>
      <c r="B638" t="s">
        <v>132</v>
      </c>
      <c r="C638" t="s">
        <v>95</v>
      </c>
      <c r="D638" t="s">
        <v>281</v>
      </c>
      <c r="E638" t="s">
        <v>295</v>
      </c>
      <c r="F638">
        <v>2006</v>
      </c>
      <c r="G638">
        <v>1</v>
      </c>
      <c r="H638">
        <v>1</v>
      </c>
      <c r="I638" t="str">
        <f t="shared" si="20"/>
        <v>Swaziland</v>
      </c>
      <c r="L638">
        <v>2</v>
      </c>
      <c r="M638">
        <v>0</v>
      </c>
    </row>
    <row r="639" spans="1:16" ht="15.75" customHeight="1" x14ac:dyDescent="0.2">
      <c r="A639">
        <f t="shared" si="18"/>
        <v>0</v>
      </c>
      <c r="B639" t="s">
        <v>132</v>
      </c>
      <c r="C639" t="s">
        <v>95</v>
      </c>
      <c r="D639" t="s">
        <v>151</v>
      </c>
      <c r="E639">
        <v>4</v>
      </c>
      <c r="F639">
        <v>2010</v>
      </c>
      <c r="G639">
        <v>1</v>
      </c>
      <c r="H639">
        <v>0</v>
      </c>
      <c r="I639" t="str">
        <f t="shared" si="20"/>
        <v/>
      </c>
      <c r="K639">
        <v>2010</v>
      </c>
      <c r="L639">
        <v>1</v>
      </c>
      <c r="M639">
        <v>0</v>
      </c>
    </row>
    <row r="640" spans="1:16" ht="15.75" customHeight="1" x14ac:dyDescent="0.2">
      <c r="A640">
        <f t="shared" si="18"/>
        <v>1</v>
      </c>
      <c r="B640" t="s">
        <v>169</v>
      </c>
      <c r="C640" t="s">
        <v>468</v>
      </c>
      <c r="D640" t="s">
        <v>151</v>
      </c>
      <c r="E640">
        <v>2</v>
      </c>
      <c r="F640">
        <v>2000</v>
      </c>
      <c r="G640">
        <v>1</v>
      </c>
      <c r="H640">
        <v>1</v>
      </c>
      <c r="I640" t="str">
        <f t="shared" si="20"/>
        <v>Syrian Arab Republic</v>
      </c>
      <c r="K640">
        <v>2000</v>
      </c>
      <c r="L640">
        <v>3</v>
      </c>
      <c r="M640">
        <v>1</v>
      </c>
    </row>
    <row r="641" spans="1:13" ht="15.75" customHeight="1" x14ac:dyDescent="0.2">
      <c r="A641">
        <f t="shared" si="18"/>
        <v>1</v>
      </c>
      <c r="B641" t="s">
        <v>169</v>
      </c>
      <c r="C641" t="s">
        <v>468</v>
      </c>
      <c r="D641" t="s">
        <v>380</v>
      </c>
      <c r="E641" t="s">
        <v>325</v>
      </c>
      <c r="F641">
        <v>2001</v>
      </c>
      <c r="G641">
        <v>1</v>
      </c>
      <c r="H641">
        <v>0</v>
      </c>
      <c r="I641" t="str">
        <f t="shared" si="20"/>
        <v/>
      </c>
      <c r="L641">
        <v>2</v>
      </c>
      <c r="M641">
        <v>0</v>
      </c>
    </row>
    <row r="642" spans="1:13" ht="15.75" customHeight="1" x14ac:dyDescent="0.2">
      <c r="A642">
        <f t="shared" si="18"/>
        <v>1</v>
      </c>
      <c r="B642" t="s">
        <v>169</v>
      </c>
      <c r="C642" t="s">
        <v>468</v>
      </c>
      <c r="D642" t="s">
        <v>151</v>
      </c>
      <c r="E642">
        <v>3</v>
      </c>
      <c r="F642">
        <v>2006</v>
      </c>
      <c r="G642">
        <v>1</v>
      </c>
      <c r="H642">
        <v>0</v>
      </c>
      <c r="I642" t="str">
        <f t="shared" si="20"/>
        <v/>
      </c>
      <c r="K642">
        <v>2006</v>
      </c>
      <c r="L642">
        <v>1</v>
      </c>
      <c r="M642">
        <v>0</v>
      </c>
    </row>
    <row r="643" spans="1:13" ht="15.75" customHeight="1" x14ac:dyDescent="0.2">
      <c r="A643">
        <f t="shared" si="18"/>
        <v>0</v>
      </c>
      <c r="B643" s="105" t="s">
        <v>169</v>
      </c>
      <c r="C643" s="105" t="s">
        <v>468</v>
      </c>
      <c r="D643" s="105" t="s">
        <v>380</v>
      </c>
      <c r="E643" s="105"/>
      <c r="F643" s="105">
        <v>2007</v>
      </c>
      <c r="G643" s="105">
        <v>1</v>
      </c>
      <c r="H643" s="105">
        <v>0</v>
      </c>
      <c r="I643" s="105" t="str">
        <f t="shared" si="20"/>
        <v/>
      </c>
      <c r="J643" s="105"/>
      <c r="K643" s="105"/>
      <c r="L643" s="105">
        <v>1</v>
      </c>
      <c r="M643" s="105">
        <v>0</v>
      </c>
    </row>
    <row r="644" spans="1:13" ht="15.75" customHeight="1" x14ac:dyDescent="0.2">
      <c r="A644">
        <f t="shared" si="18"/>
        <v>1</v>
      </c>
      <c r="B644" t="s">
        <v>43</v>
      </c>
      <c r="C644" t="s">
        <v>19</v>
      </c>
      <c r="D644" t="s">
        <v>244</v>
      </c>
      <c r="E644" t="s">
        <v>203</v>
      </c>
      <c r="F644">
        <v>1999</v>
      </c>
      <c r="G644">
        <v>1</v>
      </c>
      <c r="H644">
        <v>1</v>
      </c>
      <c r="I644" t="str">
        <f t="shared" si="20"/>
        <v>Tajikistan</v>
      </c>
      <c r="L644">
        <v>7</v>
      </c>
      <c r="M644">
        <v>1</v>
      </c>
    </row>
    <row r="645" spans="1:13" ht="15.75" customHeight="1" x14ac:dyDescent="0.2">
      <c r="A645">
        <f t="shared" si="18"/>
        <v>1</v>
      </c>
      <c r="B645" t="s">
        <v>43</v>
      </c>
      <c r="C645" t="s">
        <v>19</v>
      </c>
      <c r="D645" t="s">
        <v>151</v>
      </c>
      <c r="E645">
        <v>2</v>
      </c>
      <c r="F645">
        <v>2000</v>
      </c>
      <c r="G645">
        <v>1</v>
      </c>
      <c r="H645">
        <v>1</v>
      </c>
      <c r="I645" t="str">
        <f t="shared" si="20"/>
        <v>Tajikistan</v>
      </c>
      <c r="K645">
        <v>2000</v>
      </c>
      <c r="L645">
        <v>6</v>
      </c>
      <c r="M645">
        <v>0</v>
      </c>
    </row>
    <row r="646" spans="1:13" ht="15.75" customHeight="1" x14ac:dyDescent="0.2">
      <c r="A646">
        <f t="shared" si="18"/>
        <v>1</v>
      </c>
      <c r="B646" t="s">
        <v>43</v>
      </c>
      <c r="C646" t="s">
        <v>19</v>
      </c>
      <c r="D646" t="s">
        <v>244</v>
      </c>
      <c r="E646" t="s">
        <v>203</v>
      </c>
      <c r="F646">
        <v>2003</v>
      </c>
      <c r="G646">
        <v>1</v>
      </c>
      <c r="H646">
        <v>0</v>
      </c>
      <c r="I646" t="str">
        <f t="shared" si="20"/>
        <v/>
      </c>
      <c r="L646">
        <v>5</v>
      </c>
      <c r="M646">
        <v>0</v>
      </c>
    </row>
    <row r="647" spans="1:13" ht="15.75" customHeight="1" x14ac:dyDescent="0.2">
      <c r="A647">
        <f t="shared" si="18"/>
        <v>1</v>
      </c>
      <c r="B647" t="s">
        <v>43</v>
      </c>
      <c r="C647" t="s">
        <v>19</v>
      </c>
      <c r="D647" t="s">
        <v>151</v>
      </c>
      <c r="E647">
        <v>3</v>
      </c>
      <c r="F647">
        <v>2005</v>
      </c>
      <c r="G647">
        <v>1</v>
      </c>
      <c r="H647">
        <v>0</v>
      </c>
      <c r="I647" t="str">
        <f t="shared" si="20"/>
        <v/>
      </c>
      <c r="K647">
        <v>2005</v>
      </c>
      <c r="L647">
        <v>4</v>
      </c>
      <c r="M647">
        <v>0</v>
      </c>
    </row>
    <row r="648" spans="1:13" ht="15.75" customHeight="1" x14ac:dyDescent="0.2">
      <c r="A648">
        <f t="shared" si="18"/>
        <v>1</v>
      </c>
      <c r="B648" t="s">
        <v>43</v>
      </c>
      <c r="C648" t="s">
        <v>19</v>
      </c>
      <c r="D648" t="s">
        <v>244</v>
      </c>
      <c r="E648" t="s">
        <v>215</v>
      </c>
      <c r="F648">
        <v>2007</v>
      </c>
      <c r="G648">
        <v>1</v>
      </c>
      <c r="H648">
        <v>0</v>
      </c>
      <c r="L648">
        <v>3</v>
      </c>
      <c r="M648">
        <v>0</v>
      </c>
    </row>
    <row r="649" spans="1:13" ht="15.75" customHeight="1" x14ac:dyDescent="0.2">
      <c r="A649">
        <f t="shared" ref="A649:A712" si="21">IF(B649=B650,1,0)</f>
        <v>1</v>
      </c>
      <c r="B649" t="s">
        <v>43</v>
      </c>
      <c r="C649" t="s">
        <v>19</v>
      </c>
      <c r="D649" t="s">
        <v>244</v>
      </c>
      <c r="E649" t="s">
        <v>215</v>
      </c>
      <c r="F649">
        <v>2009</v>
      </c>
      <c r="G649">
        <v>1</v>
      </c>
      <c r="H649">
        <v>0</v>
      </c>
      <c r="L649">
        <v>2</v>
      </c>
      <c r="M649">
        <v>0</v>
      </c>
    </row>
    <row r="650" spans="1:13" ht="15.75" customHeight="1" x14ac:dyDescent="0.2">
      <c r="A650">
        <f t="shared" si="21"/>
        <v>0</v>
      </c>
      <c r="B650" t="s">
        <v>43</v>
      </c>
      <c r="C650" t="s">
        <v>19</v>
      </c>
      <c r="D650" t="s">
        <v>281</v>
      </c>
      <c r="E650" t="s">
        <v>294</v>
      </c>
      <c r="F650">
        <v>2012</v>
      </c>
      <c r="G650">
        <v>1</v>
      </c>
      <c r="H650">
        <v>1</v>
      </c>
      <c r="I650" t="str">
        <f>IF(H650=1,B650,"")</f>
        <v>Tajikistan</v>
      </c>
      <c r="L650">
        <v>1</v>
      </c>
      <c r="M650">
        <v>0</v>
      </c>
    </row>
    <row r="651" spans="1:13" ht="15.75" customHeight="1" x14ac:dyDescent="0.2">
      <c r="A651">
        <f t="shared" si="21"/>
        <v>1</v>
      </c>
      <c r="B651" t="s">
        <v>133</v>
      </c>
      <c r="C651" t="s">
        <v>95</v>
      </c>
      <c r="D651" t="s">
        <v>244</v>
      </c>
      <c r="E651" t="s">
        <v>231</v>
      </c>
      <c r="F651">
        <v>1991</v>
      </c>
      <c r="G651">
        <v>1</v>
      </c>
      <c r="H651">
        <v>1</v>
      </c>
      <c r="I651" t="str">
        <f>IF(H651=1,B651,"")</f>
        <v>Tanzania</v>
      </c>
      <c r="L651">
        <v>25</v>
      </c>
      <c r="M651">
        <v>1</v>
      </c>
    </row>
    <row r="652" spans="1:13" ht="15.75" customHeight="1" x14ac:dyDescent="0.2">
      <c r="A652">
        <f t="shared" si="21"/>
        <v>1</v>
      </c>
      <c r="B652" t="s">
        <v>133</v>
      </c>
      <c r="C652" t="s">
        <v>95</v>
      </c>
      <c r="D652" t="s">
        <v>281</v>
      </c>
      <c r="E652" t="s">
        <v>294</v>
      </c>
      <c r="F652">
        <v>1992</v>
      </c>
      <c r="G652">
        <v>1</v>
      </c>
      <c r="H652">
        <v>1</v>
      </c>
      <c r="I652" t="str">
        <f>IF(H652=1,B652,"")</f>
        <v>Tanzania</v>
      </c>
      <c r="L652">
        <v>24</v>
      </c>
      <c r="M652">
        <v>0</v>
      </c>
    </row>
    <row r="653" spans="1:13" ht="15.75" customHeight="1" x14ac:dyDescent="0.2">
      <c r="A653">
        <f t="shared" si="21"/>
        <v>1</v>
      </c>
      <c r="B653" t="s">
        <v>133</v>
      </c>
      <c r="C653" t="s">
        <v>95</v>
      </c>
      <c r="D653" t="s">
        <v>244</v>
      </c>
      <c r="E653" t="s">
        <v>232</v>
      </c>
      <c r="F653">
        <v>1992</v>
      </c>
      <c r="G653">
        <v>1</v>
      </c>
      <c r="H653">
        <v>0</v>
      </c>
      <c r="L653">
        <v>23</v>
      </c>
      <c r="M653">
        <v>0</v>
      </c>
    </row>
    <row r="654" spans="1:13" ht="15.75" customHeight="1" x14ac:dyDescent="0.2">
      <c r="A654">
        <f t="shared" si="21"/>
        <v>1</v>
      </c>
      <c r="B654" t="s">
        <v>133</v>
      </c>
      <c r="C654" t="s">
        <v>95</v>
      </c>
      <c r="D654" t="s">
        <v>244</v>
      </c>
      <c r="E654" t="s">
        <v>233</v>
      </c>
      <c r="F654">
        <v>1993</v>
      </c>
      <c r="G654">
        <v>1</v>
      </c>
      <c r="H654">
        <v>0</v>
      </c>
      <c r="L654">
        <v>22</v>
      </c>
      <c r="M654">
        <v>0</v>
      </c>
    </row>
    <row r="655" spans="1:13" ht="15.75" customHeight="1" x14ac:dyDescent="0.2">
      <c r="A655">
        <f t="shared" si="21"/>
        <v>1</v>
      </c>
      <c r="B655" t="s">
        <v>133</v>
      </c>
      <c r="C655" t="s">
        <v>95</v>
      </c>
      <c r="D655" t="s">
        <v>244</v>
      </c>
      <c r="E655" t="s">
        <v>234</v>
      </c>
      <c r="F655">
        <v>1993</v>
      </c>
      <c r="G655">
        <v>1</v>
      </c>
      <c r="H655">
        <v>0</v>
      </c>
      <c r="L655">
        <v>21</v>
      </c>
      <c r="M655">
        <v>0</v>
      </c>
    </row>
    <row r="656" spans="1:13" ht="15.75" customHeight="1" x14ac:dyDescent="0.2">
      <c r="A656">
        <f t="shared" si="21"/>
        <v>1</v>
      </c>
      <c r="B656" t="s">
        <v>133</v>
      </c>
      <c r="C656" t="s">
        <v>95</v>
      </c>
      <c r="D656" t="s">
        <v>281</v>
      </c>
      <c r="E656" t="s">
        <v>294</v>
      </c>
      <c r="F656">
        <v>1994</v>
      </c>
      <c r="G656">
        <v>1</v>
      </c>
      <c r="H656">
        <v>0</v>
      </c>
      <c r="J656" t="s">
        <v>298</v>
      </c>
      <c r="L656">
        <v>20</v>
      </c>
      <c r="M656">
        <v>0</v>
      </c>
    </row>
    <row r="657" spans="1:13" ht="15.75" customHeight="1" x14ac:dyDescent="0.2">
      <c r="A657">
        <f t="shared" si="21"/>
        <v>1</v>
      </c>
      <c r="B657" t="s">
        <v>133</v>
      </c>
      <c r="C657" t="s">
        <v>95</v>
      </c>
      <c r="D657" t="s">
        <v>244</v>
      </c>
      <c r="E657" t="s">
        <v>235</v>
      </c>
      <c r="F657">
        <v>1994</v>
      </c>
      <c r="G657">
        <v>1</v>
      </c>
      <c r="H657">
        <v>0</v>
      </c>
      <c r="L657">
        <v>19</v>
      </c>
      <c r="M657">
        <v>0</v>
      </c>
    </row>
    <row r="658" spans="1:13" ht="15.75" customHeight="1" x14ac:dyDescent="0.2">
      <c r="A658">
        <f t="shared" si="21"/>
        <v>1</v>
      </c>
      <c r="B658" t="s">
        <v>133</v>
      </c>
      <c r="C658" t="s">
        <v>95</v>
      </c>
      <c r="D658" t="s">
        <v>281</v>
      </c>
      <c r="E658" t="s">
        <v>294</v>
      </c>
      <c r="F658">
        <v>1995</v>
      </c>
      <c r="G658">
        <v>1</v>
      </c>
      <c r="H658">
        <v>0</v>
      </c>
      <c r="L658">
        <v>18</v>
      </c>
      <c r="M658">
        <v>0</v>
      </c>
    </row>
    <row r="659" spans="1:13" ht="15.75" customHeight="1" x14ac:dyDescent="0.2">
      <c r="A659">
        <f t="shared" si="21"/>
        <v>1</v>
      </c>
      <c r="B659" t="s">
        <v>133</v>
      </c>
      <c r="C659" t="s">
        <v>95</v>
      </c>
      <c r="D659" t="s">
        <v>281</v>
      </c>
      <c r="E659" t="s">
        <v>294</v>
      </c>
      <c r="F659">
        <v>1996</v>
      </c>
      <c r="G659">
        <v>1</v>
      </c>
      <c r="H659">
        <v>0</v>
      </c>
      <c r="L659">
        <v>17</v>
      </c>
      <c r="M659">
        <v>0</v>
      </c>
    </row>
    <row r="660" spans="1:13" ht="15.75" customHeight="1" x14ac:dyDescent="0.2">
      <c r="A660">
        <f t="shared" si="21"/>
        <v>1</v>
      </c>
      <c r="B660" t="s">
        <v>133</v>
      </c>
      <c r="C660" t="s">
        <v>95</v>
      </c>
      <c r="D660" t="s">
        <v>281</v>
      </c>
      <c r="E660" t="s">
        <v>151</v>
      </c>
      <c r="F660">
        <v>1999</v>
      </c>
      <c r="G660">
        <v>1</v>
      </c>
      <c r="H660">
        <v>0</v>
      </c>
      <c r="L660">
        <v>16</v>
      </c>
      <c r="M660">
        <v>0</v>
      </c>
    </row>
    <row r="661" spans="1:13" ht="15.75" customHeight="1" x14ac:dyDescent="0.2">
      <c r="A661">
        <f t="shared" si="21"/>
        <v>1</v>
      </c>
      <c r="B661" t="s">
        <v>133</v>
      </c>
      <c r="C661" t="s">
        <v>95</v>
      </c>
      <c r="D661" t="s">
        <v>304</v>
      </c>
      <c r="E661" t="s">
        <v>305</v>
      </c>
      <c r="F661">
        <v>2003</v>
      </c>
      <c r="G661">
        <v>1</v>
      </c>
      <c r="H661">
        <v>1</v>
      </c>
      <c r="I661" t="str">
        <f>IF(H661=1,B661,"")</f>
        <v>Tanzania</v>
      </c>
      <c r="L661">
        <v>15</v>
      </c>
      <c r="M661">
        <v>0</v>
      </c>
    </row>
    <row r="662" spans="1:13" ht="15.75" customHeight="1" x14ac:dyDescent="0.2">
      <c r="A662">
        <f t="shared" si="21"/>
        <v>1</v>
      </c>
      <c r="B662" t="s">
        <v>133</v>
      </c>
      <c r="C662" t="s">
        <v>95</v>
      </c>
      <c r="D662" t="s">
        <v>281</v>
      </c>
      <c r="E662" t="s">
        <v>294</v>
      </c>
      <c r="F662">
        <v>2003</v>
      </c>
      <c r="G662">
        <v>1</v>
      </c>
      <c r="H662">
        <v>0</v>
      </c>
      <c r="L662">
        <v>14</v>
      </c>
      <c r="M662">
        <v>0</v>
      </c>
    </row>
    <row r="663" spans="1:13" ht="15.75" customHeight="1" x14ac:dyDescent="0.2">
      <c r="A663">
        <f t="shared" si="21"/>
        <v>1</v>
      </c>
      <c r="B663" t="s">
        <v>133</v>
      </c>
      <c r="C663" t="s">
        <v>95</v>
      </c>
      <c r="D663" t="s">
        <v>304</v>
      </c>
      <c r="E663" t="s">
        <v>305</v>
      </c>
      <c r="F663">
        <v>2004</v>
      </c>
      <c r="G663">
        <v>1</v>
      </c>
      <c r="H663">
        <v>0</v>
      </c>
      <c r="L663">
        <v>13</v>
      </c>
      <c r="M663">
        <v>0</v>
      </c>
    </row>
    <row r="664" spans="1:13" ht="15.75" customHeight="1" x14ac:dyDescent="0.2">
      <c r="A664">
        <f t="shared" si="21"/>
        <v>1</v>
      </c>
      <c r="B664" t="s">
        <v>133</v>
      </c>
      <c r="C664" t="s">
        <v>95</v>
      </c>
      <c r="D664" t="s">
        <v>281</v>
      </c>
      <c r="E664" t="s">
        <v>296</v>
      </c>
      <c r="F664">
        <v>2004</v>
      </c>
      <c r="G664">
        <v>1</v>
      </c>
      <c r="H664">
        <v>0</v>
      </c>
      <c r="L664">
        <v>12</v>
      </c>
      <c r="M664">
        <v>0</v>
      </c>
    </row>
    <row r="665" spans="1:13" ht="15.75" customHeight="1" x14ac:dyDescent="0.2">
      <c r="A665">
        <f t="shared" si="21"/>
        <v>1</v>
      </c>
      <c r="B665" t="s">
        <v>133</v>
      </c>
      <c r="C665" t="s">
        <v>95</v>
      </c>
      <c r="D665" t="s">
        <v>244</v>
      </c>
      <c r="E665" t="s">
        <v>236</v>
      </c>
      <c r="F665">
        <v>2004</v>
      </c>
      <c r="G665">
        <v>1</v>
      </c>
      <c r="H665">
        <v>0</v>
      </c>
      <c r="L665">
        <v>11</v>
      </c>
      <c r="M665">
        <v>0</v>
      </c>
    </row>
    <row r="666" spans="1:13" ht="15.75" customHeight="1" x14ac:dyDescent="0.2">
      <c r="A666">
        <f t="shared" si="21"/>
        <v>1</v>
      </c>
      <c r="B666" t="s">
        <v>133</v>
      </c>
      <c r="C666" t="s">
        <v>95</v>
      </c>
      <c r="D666" t="s">
        <v>304</v>
      </c>
      <c r="E666" t="s">
        <v>305</v>
      </c>
      <c r="F666">
        <v>2005</v>
      </c>
      <c r="G666">
        <v>1</v>
      </c>
      <c r="H666">
        <v>0</v>
      </c>
      <c r="L666">
        <v>10</v>
      </c>
      <c r="M666">
        <v>0</v>
      </c>
    </row>
    <row r="667" spans="1:13" ht="15.75" customHeight="1" x14ac:dyDescent="0.2">
      <c r="A667">
        <f t="shared" si="21"/>
        <v>1</v>
      </c>
      <c r="B667" t="s">
        <v>133</v>
      </c>
      <c r="C667" t="s">
        <v>95</v>
      </c>
      <c r="D667" t="s">
        <v>281</v>
      </c>
      <c r="E667" t="s">
        <v>295</v>
      </c>
      <c r="F667">
        <v>2006</v>
      </c>
      <c r="G667">
        <v>1</v>
      </c>
      <c r="H667">
        <v>0</v>
      </c>
      <c r="L667">
        <v>9</v>
      </c>
      <c r="M667">
        <v>0</v>
      </c>
    </row>
    <row r="668" spans="1:13" ht="15.75" customHeight="1" x14ac:dyDescent="0.2">
      <c r="A668">
        <f t="shared" si="21"/>
        <v>1</v>
      </c>
      <c r="B668" t="s">
        <v>133</v>
      </c>
      <c r="C668" t="s">
        <v>95</v>
      </c>
      <c r="D668" t="s">
        <v>304</v>
      </c>
      <c r="E668" t="s">
        <v>306</v>
      </c>
      <c r="F668">
        <v>2007</v>
      </c>
      <c r="G668">
        <v>1</v>
      </c>
      <c r="H668">
        <v>0</v>
      </c>
      <c r="L668">
        <v>8</v>
      </c>
      <c r="M668">
        <v>0</v>
      </c>
    </row>
    <row r="669" spans="1:13" ht="15.75" customHeight="1" x14ac:dyDescent="0.2">
      <c r="A669">
        <f t="shared" si="21"/>
        <v>1</v>
      </c>
      <c r="B669" t="s">
        <v>133</v>
      </c>
      <c r="C669" t="s">
        <v>95</v>
      </c>
      <c r="D669" t="s">
        <v>281</v>
      </c>
      <c r="E669" t="s">
        <v>295</v>
      </c>
      <c r="F669">
        <v>2007</v>
      </c>
      <c r="G669">
        <v>1</v>
      </c>
      <c r="H669">
        <v>0</v>
      </c>
      <c r="L669">
        <v>7</v>
      </c>
      <c r="M669">
        <v>0</v>
      </c>
    </row>
    <row r="670" spans="1:13" ht="15.75" customHeight="1" x14ac:dyDescent="0.2">
      <c r="A670">
        <f t="shared" si="21"/>
        <v>1</v>
      </c>
      <c r="B670" t="s">
        <v>133</v>
      </c>
      <c r="C670" t="s">
        <v>95</v>
      </c>
      <c r="D670" t="s">
        <v>244</v>
      </c>
      <c r="E670" t="s">
        <v>237</v>
      </c>
      <c r="F670">
        <v>2008</v>
      </c>
      <c r="G670">
        <v>1</v>
      </c>
      <c r="H670">
        <v>0</v>
      </c>
      <c r="L670">
        <v>6</v>
      </c>
      <c r="M670">
        <v>0</v>
      </c>
    </row>
    <row r="671" spans="1:13" ht="15.75" customHeight="1" x14ac:dyDescent="0.2">
      <c r="A671">
        <f t="shared" si="21"/>
        <v>1</v>
      </c>
      <c r="B671" t="s">
        <v>133</v>
      </c>
      <c r="C671" t="s">
        <v>95</v>
      </c>
      <c r="D671" t="s">
        <v>281</v>
      </c>
      <c r="E671" t="s">
        <v>294</v>
      </c>
      <c r="F671">
        <v>2010</v>
      </c>
      <c r="G671">
        <v>1</v>
      </c>
      <c r="H671">
        <v>0</v>
      </c>
      <c r="L671">
        <v>5</v>
      </c>
      <c r="M671">
        <v>0</v>
      </c>
    </row>
    <row r="672" spans="1:13" ht="15.75" customHeight="1" x14ac:dyDescent="0.2">
      <c r="A672">
        <f t="shared" si="21"/>
        <v>1</v>
      </c>
      <c r="B672" t="s">
        <v>133</v>
      </c>
      <c r="C672" t="s">
        <v>95</v>
      </c>
      <c r="D672" t="s">
        <v>244</v>
      </c>
      <c r="E672" t="s">
        <v>238</v>
      </c>
      <c r="F672">
        <v>2010</v>
      </c>
      <c r="G672">
        <v>1</v>
      </c>
      <c r="H672">
        <v>0</v>
      </c>
      <c r="L672">
        <v>4</v>
      </c>
      <c r="M672">
        <v>0</v>
      </c>
    </row>
    <row r="673" spans="1:13" ht="15.75" customHeight="1" x14ac:dyDescent="0.2">
      <c r="A673">
        <f t="shared" si="21"/>
        <v>1</v>
      </c>
      <c r="B673" t="s">
        <v>133</v>
      </c>
      <c r="C673" t="s">
        <v>95</v>
      </c>
      <c r="D673" t="s">
        <v>244</v>
      </c>
      <c r="E673" t="s">
        <v>237</v>
      </c>
      <c r="F673">
        <v>2010</v>
      </c>
      <c r="G673">
        <v>1</v>
      </c>
      <c r="H673">
        <v>0</v>
      </c>
      <c r="L673">
        <v>3</v>
      </c>
      <c r="M673">
        <v>0</v>
      </c>
    </row>
    <row r="674" spans="1:13" ht="15.75" customHeight="1" x14ac:dyDescent="0.2">
      <c r="A674">
        <f t="shared" si="21"/>
        <v>1</v>
      </c>
      <c r="B674" t="s">
        <v>133</v>
      </c>
      <c r="C674" t="s">
        <v>95</v>
      </c>
      <c r="D674" t="s">
        <v>281</v>
      </c>
      <c r="E674" t="s">
        <v>294</v>
      </c>
      <c r="F674">
        <v>2012</v>
      </c>
      <c r="G674">
        <v>1</v>
      </c>
      <c r="H674">
        <v>0</v>
      </c>
      <c r="L674">
        <v>2</v>
      </c>
      <c r="M674">
        <v>0</v>
      </c>
    </row>
    <row r="675" spans="1:13" ht="15.75" customHeight="1" x14ac:dyDescent="0.2">
      <c r="A675">
        <f t="shared" si="21"/>
        <v>0</v>
      </c>
      <c r="B675" t="s">
        <v>133</v>
      </c>
      <c r="C675" t="s">
        <v>95</v>
      </c>
      <c r="D675" t="s">
        <v>281</v>
      </c>
      <c r="E675" t="s">
        <v>293</v>
      </c>
      <c r="F675">
        <v>2013</v>
      </c>
      <c r="G675">
        <v>1</v>
      </c>
      <c r="H675">
        <v>0</v>
      </c>
      <c r="L675">
        <v>1</v>
      </c>
      <c r="M675">
        <v>0</v>
      </c>
    </row>
    <row r="676" spans="1:13" ht="15.75" customHeight="1" x14ac:dyDescent="0.2">
      <c r="A676">
        <f t="shared" si="21"/>
        <v>1</v>
      </c>
      <c r="B676" t="s">
        <v>16</v>
      </c>
      <c r="C676" t="s">
        <v>158</v>
      </c>
      <c r="D676" t="s">
        <v>281</v>
      </c>
      <c r="E676" t="s">
        <v>296</v>
      </c>
      <c r="F676">
        <v>1987</v>
      </c>
      <c r="G676">
        <v>1</v>
      </c>
      <c r="H676">
        <v>1</v>
      </c>
      <c r="I676" t="str">
        <f>IF(H676=1,B676,"")</f>
        <v>Thailand</v>
      </c>
      <c r="L676">
        <v>4</v>
      </c>
      <c r="M676">
        <v>1</v>
      </c>
    </row>
    <row r="677" spans="1:13" ht="15.75" customHeight="1" x14ac:dyDescent="0.2">
      <c r="A677">
        <f t="shared" si="21"/>
        <v>1</v>
      </c>
      <c r="B677" t="s">
        <v>16</v>
      </c>
      <c r="C677" t="s">
        <v>158</v>
      </c>
      <c r="D677" t="s">
        <v>151</v>
      </c>
      <c r="E677">
        <v>3</v>
      </c>
      <c r="F677">
        <v>2006</v>
      </c>
      <c r="G677">
        <v>1</v>
      </c>
      <c r="H677">
        <v>1</v>
      </c>
      <c r="I677" t="str">
        <f>IF(H677=1,B677,"")</f>
        <v>Thailand</v>
      </c>
      <c r="K677">
        <v>2005</v>
      </c>
      <c r="L677">
        <v>3</v>
      </c>
      <c r="M677">
        <v>0</v>
      </c>
    </row>
    <row r="678" spans="1:13" ht="15.75" customHeight="1" x14ac:dyDescent="0.2">
      <c r="A678">
        <f t="shared" si="21"/>
        <v>1</v>
      </c>
      <c r="B678" t="s">
        <v>16</v>
      </c>
      <c r="C678" t="s">
        <v>158</v>
      </c>
      <c r="D678" t="s">
        <v>151</v>
      </c>
      <c r="E678">
        <v>4</v>
      </c>
      <c r="F678">
        <v>2012</v>
      </c>
      <c r="G678">
        <v>1</v>
      </c>
      <c r="H678">
        <v>0</v>
      </c>
      <c r="L678">
        <v>2</v>
      </c>
      <c r="M678">
        <v>0</v>
      </c>
    </row>
    <row r="679" spans="1:13" ht="15.75" customHeight="1" x14ac:dyDescent="0.2">
      <c r="A679">
        <f t="shared" si="21"/>
        <v>0</v>
      </c>
      <c r="B679" s="97" t="s">
        <v>16</v>
      </c>
      <c r="C679" s="97" t="s">
        <v>158</v>
      </c>
      <c r="D679" s="98" t="s">
        <v>151</v>
      </c>
      <c r="E679" s="104"/>
      <c r="F679" s="98">
        <v>2013</v>
      </c>
      <c r="G679" s="99">
        <v>1</v>
      </c>
      <c r="H679" s="98">
        <v>0</v>
      </c>
      <c r="I679" s="97"/>
      <c r="J679" s="97"/>
      <c r="K679" s="98">
        <v>2012</v>
      </c>
      <c r="L679" s="97">
        <v>1</v>
      </c>
      <c r="M679">
        <v>0</v>
      </c>
    </row>
    <row r="680" spans="1:13" ht="15.75" customHeight="1" x14ac:dyDescent="0.2">
      <c r="A680">
        <f t="shared" si="21"/>
        <v>1</v>
      </c>
      <c r="B680" t="s">
        <v>17</v>
      </c>
      <c r="C680" t="s">
        <v>158</v>
      </c>
      <c r="D680" t="s">
        <v>244</v>
      </c>
      <c r="E680" t="s">
        <v>215</v>
      </c>
      <c r="F680">
        <v>2001</v>
      </c>
      <c r="G680">
        <v>1</v>
      </c>
      <c r="H680">
        <v>1</v>
      </c>
      <c r="I680" t="str">
        <f>IF(H680=1,B680,"")</f>
        <v>Timor-Leste</v>
      </c>
      <c r="L680">
        <v>2</v>
      </c>
      <c r="M680">
        <v>0</v>
      </c>
    </row>
    <row r="681" spans="1:13" ht="15.75" customHeight="1" x14ac:dyDescent="0.2">
      <c r="A681">
        <f t="shared" si="21"/>
        <v>1</v>
      </c>
      <c r="B681" t="s">
        <v>17</v>
      </c>
      <c r="C681" t="s">
        <v>158</v>
      </c>
      <c r="D681" t="s">
        <v>244</v>
      </c>
      <c r="E681" t="s">
        <v>239</v>
      </c>
      <c r="F681">
        <v>2007</v>
      </c>
      <c r="G681">
        <v>1</v>
      </c>
      <c r="H681">
        <v>0</v>
      </c>
      <c r="I681" t="str">
        <f>IF(H681=1,B681,"")</f>
        <v/>
      </c>
      <c r="L681">
        <v>3</v>
      </c>
      <c r="M681">
        <v>0</v>
      </c>
    </row>
    <row r="682" spans="1:13" ht="15.75" customHeight="1" x14ac:dyDescent="0.2">
      <c r="A682">
        <f t="shared" si="21"/>
        <v>0</v>
      </c>
      <c r="B682" t="s">
        <v>17</v>
      </c>
      <c r="C682" t="s">
        <v>158</v>
      </c>
      <c r="D682" t="s">
        <v>281</v>
      </c>
      <c r="E682" t="s">
        <v>299</v>
      </c>
      <c r="F682">
        <v>2009</v>
      </c>
      <c r="G682">
        <v>1</v>
      </c>
      <c r="H682">
        <v>1</v>
      </c>
      <c r="I682" t="str">
        <f>IF(H682=1,B682,"")</f>
        <v>Timor-Leste</v>
      </c>
      <c r="L682">
        <v>1</v>
      </c>
      <c r="M682">
        <v>1</v>
      </c>
    </row>
    <row r="683" spans="1:13" ht="15.75" customHeight="1" x14ac:dyDescent="0.2">
      <c r="A683">
        <f t="shared" si="21"/>
        <v>1</v>
      </c>
      <c r="B683" t="s">
        <v>134</v>
      </c>
      <c r="C683" t="s">
        <v>95</v>
      </c>
      <c r="D683" t="s">
        <v>281</v>
      </c>
      <c r="E683" t="s">
        <v>294</v>
      </c>
      <c r="F683">
        <v>1988</v>
      </c>
      <c r="G683">
        <v>1</v>
      </c>
      <c r="H683">
        <v>1</v>
      </c>
      <c r="I683" t="str">
        <f>IF(H683=1,B683,"")</f>
        <v>Togo</v>
      </c>
      <c r="L683">
        <v>8</v>
      </c>
      <c r="M683">
        <v>1</v>
      </c>
    </row>
    <row r="684" spans="1:13" ht="15.75" customHeight="1" x14ac:dyDescent="0.2">
      <c r="A684">
        <f t="shared" si="21"/>
        <v>1</v>
      </c>
      <c r="B684" t="s">
        <v>134</v>
      </c>
      <c r="C684" t="s">
        <v>95</v>
      </c>
      <c r="D684" t="s">
        <v>281</v>
      </c>
      <c r="E684" t="s">
        <v>294</v>
      </c>
      <c r="F684">
        <v>1998</v>
      </c>
      <c r="G684">
        <v>1</v>
      </c>
      <c r="H684">
        <v>0</v>
      </c>
      <c r="L684">
        <v>7</v>
      </c>
      <c r="M684">
        <v>0</v>
      </c>
    </row>
    <row r="685" spans="1:13" ht="15.75" customHeight="1" x14ac:dyDescent="0.2">
      <c r="A685">
        <f t="shared" si="21"/>
        <v>1</v>
      </c>
      <c r="B685" t="s">
        <v>134</v>
      </c>
      <c r="C685" t="s">
        <v>95</v>
      </c>
      <c r="D685" t="s">
        <v>151</v>
      </c>
      <c r="E685">
        <v>2</v>
      </c>
      <c r="F685">
        <v>2000</v>
      </c>
      <c r="G685">
        <v>1</v>
      </c>
      <c r="H685">
        <v>1</v>
      </c>
      <c r="I685" t="str">
        <f>IF(H685=1,B685,"")</f>
        <v>Togo</v>
      </c>
      <c r="K685">
        <v>2000</v>
      </c>
      <c r="L685">
        <v>6</v>
      </c>
      <c r="M685">
        <v>0</v>
      </c>
    </row>
    <row r="686" spans="1:13" ht="15.75" customHeight="1" x14ac:dyDescent="0.2">
      <c r="A686">
        <f t="shared" si="21"/>
        <v>1</v>
      </c>
      <c r="B686" t="s">
        <v>134</v>
      </c>
      <c r="C686" t="s">
        <v>95</v>
      </c>
      <c r="D686" t="s">
        <v>304</v>
      </c>
      <c r="E686" t="s">
        <v>304</v>
      </c>
      <c r="F686">
        <v>2006</v>
      </c>
      <c r="G686">
        <v>1</v>
      </c>
      <c r="H686">
        <v>1</v>
      </c>
      <c r="I686" t="str">
        <f>IF(H686=1,B686,"")</f>
        <v>Togo</v>
      </c>
      <c r="L686">
        <v>4</v>
      </c>
      <c r="M686">
        <v>0</v>
      </c>
    </row>
    <row r="687" spans="1:13" ht="15.75" customHeight="1" x14ac:dyDescent="0.2">
      <c r="A687">
        <f t="shared" si="21"/>
        <v>1</v>
      </c>
      <c r="B687" t="s">
        <v>134</v>
      </c>
      <c r="C687" t="s">
        <v>95</v>
      </c>
      <c r="D687" t="s">
        <v>151</v>
      </c>
      <c r="E687">
        <v>3</v>
      </c>
      <c r="F687">
        <v>2006</v>
      </c>
      <c r="G687">
        <v>1</v>
      </c>
      <c r="H687">
        <v>0</v>
      </c>
      <c r="I687" t="str">
        <f>IF(H687=1,B687,"")</f>
        <v/>
      </c>
      <c r="K687">
        <v>2006</v>
      </c>
      <c r="L687">
        <v>5</v>
      </c>
      <c r="M687">
        <v>0</v>
      </c>
    </row>
    <row r="688" spans="1:13" ht="15.75" customHeight="1" x14ac:dyDescent="0.2">
      <c r="A688">
        <f t="shared" si="21"/>
        <v>1</v>
      </c>
      <c r="B688" t="s">
        <v>134</v>
      </c>
      <c r="C688" t="s">
        <v>95</v>
      </c>
      <c r="D688" t="s">
        <v>151</v>
      </c>
      <c r="E688">
        <v>4</v>
      </c>
      <c r="F688">
        <v>2010</v>
      </c>
      <c r="G688">
        <v>1</v>
      </c>
      <c r="H688">
        <v>0</v>
      </c>
      <c r="I688" t="str">
        <f>IF(H688=1,B688,"")</f>
        <v/>
      </c>
      <c r="K688">
        <v>2010</v>
      </c>
      <c r="L688">
        <v>3</v>
      </c>
      <c r="M688">
        <v>0</v>
      </c>
    </row>
    <row r="689" spans="1:13" ht="15.75" customHeight="1" x14ac:dyDescent="0.2">
      <c r="A689">
        <f t="shared" si="21"/>
        <v>1</v>
      </c>
      <c r="B689" t="s">
        <v>134</v>
      </c>
      <c r="C689" t="s">
        <v>95</v>
      </c>
      <c r="D689" t="s">
        <v>304</v>
      </c>
      <c r="E689" t="s">
        <v>304</v>
      </c>
      <c r="F689">
        <v>2011</v>
      </c>
      <c r="G689">
        <v>1</v>
      </c>
      <c r="H689">
        <v>0</v>
      </c>
      <c r="L689">
        <v>2</v>
      </c>
      <c r="M689">
        <v>0</v>
      </c>
    </row>
    <row r="690" spans="1:13" ht="15.75" customHeight="1" x14ac:dyDescent="0.2">
      <c r="A690">
        <f t="shared" si="21"/>
        <v>0</v>
      </c>
      <c r="B690" s="105" t="s">
        <v>134</v>
      </c>
      <c r="C690" s="105" t="s">
        <v>95</v>
      </c>
      <c r="D690" s="105" t="s">
        <v>281</v>
      </c>
      <c r="E690" s="105" t="s">
        <v>295</v>
      </c>
      <c r="F690" s="105">
        <v>2013</v>
      </c>
      <c r="G690" s="105">
        <v>1</v>
      </c>
      <c r="H690" s="105">
        <v>0</v>
      </c>
      <c r="I690" s="105"/>
      <c r="J690" s="105"/>
      <c r="K690" s="105"/>
      <c r="L690" s="105">
        <v>1</v>
      </c>
      <c r="M690" s="105">
        <v>0</v>
      </c>
    </row>
    <row r="691" spans="1:13" ht="15.75" customHeight="1" x14ac:dyDescent="0.2">
      <c r="A691">
        <f t="shared" si="21"/>
        <v>1</v>
      </c>
      <c r="B691" t="s">
        <v>71</v>
      </c>
      <c r="C691" t="s">
        <v>469</v>
      </c>
      <c r="D691" t="s">
        <v>281</v>
      </c>
      <c r="E691" t="s">
        <v>294</v>
      </c>
      <c r="F691">
        <v>1987</v>
      </c>
      <c r="G691">
        <v>1</v>
      </c>
      <c r="H691">
        <v>1</v>
      </c>
      <c r="I691" t="str">
        <f>IF(H691=1,B691,"")</f>
        <v>Trinidad and Tobago</v>
      </c>
      <c r="L691">
        <v>4</v>
      </c>
      <c r="M691">
        <v>1</v>
      </c>
    </row>
    <row r="692" spans="1:13" ht="15.75" customHeight="1" x14ac:dyDescent="0.2">
      <c r="A692">
        <f t="shared" si="21"/>
        <v>1</v>
      </c>
      <c r="B692" t="s">
        <v>71</v>
      </c>
      <c r="C692" t="s">
        <v>469</v>
      </c>
      <c r="D692" t="s">
        <v>450</v>
      </c>
      <c r="E692" t="s">
        <v>446</v>
      </c>
      <c r="F692">
        <v>1992</v>
      </c>
      <c r="G692">
        <v>1</v>
      </c>
      <c r="H692">
        <v>1</v>
      </c>
      <c r="I692" t="str">
        <f>IF(H692=1,B692,"")</f>
        <v>Trinidad and Tobago</v>
      </c>
      <c r="L692">
        <v>5</v>
      </c>
      <c r="M692">
        <v>0</v>
      </c>
    </row>
    <row r="693" spans="1:13" ht="15.75" customHeight="1" x14ac:dyDescent="0.2">
      <c r="A693">
        <f t="shared" si="21"/>
        <v>1</v>
      </c>
      <c r="B693" t="s">
        <v>71</v>
      </c>
      <c r="C693" t="s">
        <v>469</v>
      </c>
      <c r="D693" t="s">
        <v>151</v>
      </c>
      <c r="E693">
        <v>2</v>
      </c>
      <c r="F693">
        <v>2000</v>
      </c>
      <c r="G693">
        <v>1</v>
      </c>
      <c r="H693">
        <v>1</v>
      </c>
      <c r="I693" t="str">
        <f>IF(H693=1,B693,"")</f>
        <v>Trinidad and Tobago</v>
      </c>
      <c r="K693">
        <v>2000</v>
      </c>
      <c r="L693">
        <v>3</v>
      </c>
      <c r="M693">
        <v>0</v>
      </c>
    </row>
    <row r="694" spans="1:13" ht="15.75" customHeight="1" x14ac:dyDescent="0.2">
      <c r="A694">
        <f t="shared" si="21"/>
        <v>1</v>
      </c>
      <c r="B694" t="s">
        <v>71</v>
      </c>
      <c r="C694" t="s">
        <v>469</v>
      </c>
      <c r="D694" t="s">
        <v>151</v>
      </c>
      <c r="E694">
        <v>3</v>
      </c>
      <c r="F694">
        <v>2006</v>
      </c>
      <c r="G694">
        <v>1</v>
      </c>
      <c r="H694">
        <v>0</v>
      </c>
      <c r="I694" t="str">
        <f>IF(H694=1,B694,"")</f>
        <v/>
      </c>
      <c r="K694">
        <v>2006</v>
      </c>
      <c r="L694">
        <v>2</v>
      </c>
      <c r="M694">
        <v>0</v>
      </c>
    </row>
    <row r="695" spans="1:13" x14ac:dyDescent="0.2">
      <c r="A695">
        <f t="shared" si="21"/>
        <v>0</v>
      </c>
      <c r="B695" t="s">
        <v>71</v>
      </c>
      <c r="C695" t="s">
        <v>469</v>
      </c>
      <c r="D695" t="s">
        <v>151</v>
      </c>
      <c r="E695">
        <v>4</v>
      </c>
      <c r="F695">
        <v>2011</v>
      </c>
      <c r="G695">
        <v>1</v>
      </c>
      <c r="H695">
        <v>0</v>
      </c>
      <c r="L695">
        <v>1</v>
      </c>
      <c r="M695">
        <v>0</v>
      </c>
    </row>
    <row r="696" spans="1:13" ht="15.75" customHeight="1" x14ac:dyDescent="0.2">
      <c r="A696">
        <f t="shared" si="21"/>
        <v>1</v>
      </c>
      <c r="B696" t="s">
        <v>83</v>
      </c>
      <c r="C696" t="s">
        <v>468</v>
      </c>
      <c r="D696" t="s">
        <v>281</v>
      </c>
      <c r="E696" t="s">
        <v>294</v>
      </c>
      <c r="F696">
        <v>1988</v>
      </c>
      <c r="G696">
        <v>1</v>
      </c>
      <c r="H696">
        <v>1</v>
      </c>
      <c r="I696" t="str">
        <f t="shared" ref="I696:I701" si="22">IF(H696=1,B696,"")</f>
        <v>Tunisia</v>
      </c>
      <c r="L696">
        <v>4</v>
      </c>
      <c r="M696">
        <v>1</v>
      </c>
    </row>
    <row r="697" spans="1:13" ht="15.75" customHeight="1" x14ac:dyDescent="0.2">
      <c r="A697">
        <f t="shared" si="21"/>
        <v>1</v>
      </c>
      <c r="B697" t="s">
        <v>83</v>
      </c>
      <c r="C697" t="s">
        <v>468</v>
      </c>
      <c r="D697" t="s">
        <v>151</v>
      </c>
      <c r="E697">
        <v>2</v>
      </c>
      <c r="F697">
        <v>2000</v>
      </c>
      <c r="G697">
        <v>1</v>
      </c>
      <c r="H697">
        <v>1</v>
      </c>
      <c r="I697" t="str">
        <f t="shared" si="22"/>
        <v>Tunisia</v>
      </c>
      <c r="K697">
        <v>2000</v>
      </c>
      <c r="L697">
        <v>3</v>
      </c>
      <c r="M697">
        <v>0</v>
      </c>
    </row>
    <row r="698" spans="1:13" x14ac:dyDescent="0.2">
      <c r="A698">
        <f t="shared" si="21"/>
        <v>1</v>
      </c>
      <c r="B698" t="s">
        <v>83</v>
      </c>
      <c r="C698" t="s">
        <v>468</v>
      </c>
      <c r="D698" t="s">
        <v>380</v>
      </c>
      <c r="E698" t="s">
        <v>333</v>
      </c>
      <c r="F698">
        <v>2002</v>
      </c>
      <c r="G698">
        <v>1</v>
      </c>
      <c r="H698">
        <v>1</v>
      </c>
      <c r="I698" t="str">
        <f t="shared" si="22"/>
        <v>Tunisia</v>
      </c>
      <c r="L698">
        <v>2</v>
      </c>
      <c r="M698">
        <v>0</v>
      </c>
    </row>
    <row r="699" spans="1:13" ht="15.75" customHeight="1" x14ac:dyDescent="0.2">
      <c r="A699">
        <f t="shared" si="21"/>
        <v>1</v>
      </c>
      <c r="B699" t="s">
        <v>83</v>
      </c>
      <c r="C699" t="s">
        <v>468</v>
      </c>
      <c r="D699" t="s">
        <v>151</v>
      </c>
      <c r="E699">
        <v>3</v>
      </c>
      <c r="F699">
        <v>2006</v>
      </c>
      <c r="G699">
        <v>1</v>
      </c>
      <c r="H699">
        <v>0</v>
      </c>
      <c r="I699" t="str">
        <f t="shared" si="22"/>
        <v/>
      </c>
      <c r="K699">
        <v>2006</v>
      </c>
      <c r="L699">
        <v>1</v>
      </c>
      <c r="M699">
        <v>0</v>
      </c>
    </row>
    <row r="700" spans="1:13" ht="15.75" customHeight="1" x14ac:dyDescent="0.2">
      <c r="A700">
        <f t="shared" si="21"/>
        <v>0</v>
      </c>
      <c r="B700" t="s">
        <v>83</v>
      </c>
      <c r="C700" t="s">
        <v>468</v>
      </c>
      <c r="D700" t="s">
        <v>151</v>
      </c>
      <c r="E700">
        <v>4</v>
      </c>
      <c r="F700">
        <v>2012</v>
      </c>
      <c r="G700">
        <v>1</v>
      </c>
      <c r="H700">
        <v>0</v>
      </c>
      <c r="I700" t="str">
        <f t="shared" si="22"/>
        <v/>
      </c>
      <c r="L700">
        <v>5</v>
      </c>
      <c r="M700">
        <v>0</v>
      </c>
    </row>
    <row r="701" spans="1:13" ht="15.75" customHeight="1" x14ac:dyDescent="0.2">
      <c r="A701">
        <f t="shared" si="21"/>
        <v>1</v>
      </c>
      <c r="B701" t="s">
        <v>45</v>
      </c>
      <c r="C701" t="s">
        <v>19</v>
      </c>
      <c r="D701" t="s">
        <v>281</v>
      </c>
      <c r="E701" t="s">
        <v>294</v>
      </c>
      <c r="F701">
        <v>1993</v>
      </c>
      <c r="G701">
        <v>1</v>
      </c>
      <c r="H701">
        <v>1</v>
      </c>
      <c r="I701" t="str">
        <f t="shared" si="22"/>
        <v>Turkey</v>
      </c>
      <c r="L701">
        <v>3</v>
      </c>
      <c r="M701">
        <v>1</v>
      </c>
    </row>
    <row r="702" spans="1:13" ht="15.75" customHeight="1" x14ac:dyDescent="0.2">
      <c r="A702">
        <f t="shared" si="21"/>
        <v>1</v>
      </c>
      <c r="B702" t="s">
        <v>45</v>
      </c>
      <c r="C702" t="s">
        <v>19</v>
      </c>
      <c r="D702" t="s">
        <v>281</v>
      </c>
      <c r="E702" t="s">
        <v>294</v>
      </c>
      <c r="F702">
        <v>1998</v>
      </c>
      <c r="G702">
        <v>1</v>
      </c>
      <c r="H702">
        <v>0</v>
      </c>
      <c r="L702">
        <v>2</v>
      </c>
      <c r="M702">
        <v>0</v>
      </c>
    </row>
    <row r="703" spans="1:13" ht="15.75" customHeight="1" x14ac:dyDescent="0.2">
      <c r="A703">
        <f t="shared" si="21"/>
        <v>0</v>
      </c>
      <c r="B703" t="s">
        <v>45</v>
      </c>
      <c r="C703" t="s">
        <v>19</v>
      </c>
      <c r="D703" t="s">
        <v>281</v>
      </c>
      <c r="E703" t="s">
        <v>294</v>
      </c>
      <c r="F703">
        <v>2003</v>
      </c>
      <c r="G703">
        <v>1</v>
      </c>
      <c r="H703">
        <v>0</v>
      </c>
      <c r="L703">
        <v>1</v>
      </c>
      <c r="M703">
        <v>0</v>
      </c>
    </row>
    <row r="704" spans="1:13" ht="15.75" customHeight="1" x14ac:dyDescent="0.2">
      <c r="A704">
        <f t="shared" si="21"/>
        <v>1</v>
      </c>
      <c r="B704" t="s">
        <v>46</v>
      </c>
      <c r="C704" t="s">
        <v>19</v>
      </c>
      <c r="D704" t="s">
        <v>281</v>
      </c>
      <c r="E704" t="s">
        <v>294</v>
      </c>
      <c r="F704">
        <v>2000</v>
      </c>
      <c r="G704">
        <v>1</v>
      </c>
      <c r="H704">
        <v>1</v>
      </c>
      <c r="I704" t="str">
        <f>IF(H704=1,B704,"")</f>
        <v>Turkmenistan</v>
      </c>
      <c r="L704">
        <v>3</v>
      </c>
      <c r="M704">
        <v>1</v>
      </c>
    </row>
    <row r="705" spans="1:13" ht="15.75" customHeight="1" x14ac:dyDescent="0.2">
      <c r="A705">
        <f t="shared" si="21"/>
        <v>1</v>
      </c>
      <c r="B705" t="s">
        <v>46</v>
      </c>
      <c r="C705" t="s">
        <v>19</v>
      </c>
      <c r="D705" t="s">
        <v>450</v>
      </c>
      <c r="E705" t="s">
        <v>446</v>
      </c>
      <c r="F705">
        <v>2003</v>
      </c>
      <c r="G705">
        <v>1</v>
      </c>
      <c r="H705">
        <v>1</v>
      </c>
      <c r="I705" t="str">
        <f>IF(H705=1,B705,"")</f>
        <v>Turkmenistan</v>
      </c>
      <c r="L705">
        <v>2</v>
      </c>
      <c r="M705">
        <v>0</v>
      </c>
    </row>
    <row r="706" spans="1:13" ht="15.75" customHeight="1" x14ac:dyDescent="0.2">
      <c r="A706">
        <f t="shared" si="21"/>
        <v>0</v>
      </c>
      <c r="B706" t="s">
        <v>46</v>
      </c>
      <c r="C706" t="s">
        <v>19</v>
      </c>
      <c r="D706" t="s">
        <v>151</v>
      </c>
      <c r="E706">
        <v>3</v>
      </c>
      <c r="F706">
        <v>2006</v>
      </c>
      <c r="G706">
        <v>1</v>
      </c>
      <c r="H706">
        <v>1</v>
      </c>
      <c r="I706" t="str">
        <f>IF(H706=1,B706,"")</f>
        <v>Turkmenistan</v>
      </c>
      <c r="K706">
        <v>2006</v>
      </c>
      <c r="L706">
        <v>1</v>
      </c>
      <c r="M706">
        <v>0</v>
      </c>
    </row>
    <row r="707" spans="1:13" ht="15.75" customHeight="1" x14ac:dyDescent="0.2">
      <c r="A707">
        <f t="shared" si="21"/>
        <v>1</v>
      </c>
      <c r="B707" t="s">
        <v>135</v>
      </c>
      <c r="C707" t="s">
        <v>95</v>
      </c>
      <c r="D707" t="s">
        <v>281</v>
      </c>
      <c r="E707" t="s">
        <v>294</v>
      </c>
      <c r="F707">
        <v>1988</v>
      </c>
      <c r="G707">
        <v>1</v>
      </c>
      <c r="H707">
        <v>1</v>
      </c>
      <c r="I707" t="str">
        <f>IF(H707=1,B707,"")</f>
        <v>Uganda</v>
      </c>
      <c r="L707">
        <v>14</v>
      </c>
      <c r="M707">
        <v>1</v>
      </c>
    </row>
    <row r="708" spans="1:13" ht="15.75" customHeight="1" x14ac:dyDescent="0.2">
      <c r="A708">
        <f t="shared" si="21"/>
        <v>1</v>
      </c>
      <c r="B708" t="s">
        <v>135</v>
      </c>
      <c r="C708" t="s">
        <v>95</v>
      </c>
      <c r="D708" t="s">
        <v>281</v>
      </c>
      <c r="E708" t="s">
        <v>294</v>
      </c>
      <c r="F708">
        <v>1995</v>
      </c>
      <c r="G708">
        <v>1</v>
      </c>
      <c r="H708">
        <v>0</v>
      </c>
      <c r="L708">
        <v>13</v>
      </c>
      <c r="M708">
        <v>0</v>
      </c>
    </row>
    <row r="709" spans="1:13" x14ac:dyDescent="0.2">
      <c r="A709">
        <f t="shared" si="21"/>
        <v>1</v>
      </c>
      <c r="B709" t="s">
        <v>135</v>
      </c>
      <c r="C709" t="s">
        <v>95</v>
      </c>
      <c r="D709" t="s">
        <v>281</v>
      </c>
      <c r="E709" t="s">
        <v>294</v>
      </c>
      <c r="F709">
        <v>1995</v>
      </c>
      <c r="G709">
        <v>1</v>
      </c>
      <c r="H709">
        <v>0</v>
      </c>
      <c r="L709">
        <v>12</v>
      </c>
      <c r="M709">
        <v>0</v>
      </c>
    </row>
    <row r="710" spans="1:13" ht="15.75" customHeight="1" x14ac:dyDescent="0.2">
      <c r="A710">
        <f t="shared" si="21"/>
        <v>1</v>
      </c>
      <c r="B710" t="s">
        <v>135</v>
      </c>
      <c r="C710" t="s">
        <v>95</v>
      </c>
      <c r="D710" t="s">
        <v>281</v>
      </c>
      <c r="E710" t="s">
        <v>295</v>
      </c>
      <c r="F710">
        <v>2000</v>
      </c>
      <c r="G710">
        <v>1</v>
      </c>
      <c r="H710">
        <v>0</v>
      </c>
      <c r="L710">
        <v>11</v>
      </c>
      <c r="M710">
        <v>0</v>
      </c>
    </row>
    <row r="711" spans="1:13" ht="15.75" customHeight="1" x14ac:dyDescent="0.2">
      <c r="A711">
        <f t="shared" si="21"/>
        <v>1</v>
      </c>
      <c r="B711" t="s">
        <v>135</v>
      </c>
      <c r="C711" t="s">
        <v>95</v>
      </c>
      <c r="D711" t="s">
        <v>281</v>
      </c>
      <c r="E711" t="s">
        <v>294</v>
      </c>
      <c r="F711">
        <v>2004</v>
      </c>
      <c r="G711">
        <v>1</v>
      </c>
      <c r="H711">
        <v>0</v>
      </c>
      <c r="L711">
        <v>10</v>
      </c>
      <c r="M711">
        <v>0</v>
      </c>
    </row>
    <row r="712" spans="1:13" ht="15.75" customHeight="1" x14ac:dyDescent="0.2">
      <c r="A712">
        <f t="shared" si="21"/>
        <v>1</v>
      </c>
      <c r="B712" t="s">
        <v>135</v>
      </c>
      <c r="C712" t="s">
        <v>95</v>
      </c>
      <c r="D712" t="s">
        <v>281</v>
      </c>
      <c r="E712" t="s">
        <v>294</v>
      </c>
      <c r="F712">
        <v>2006</v>
      </c>
      <c r="G712">
        <v>1</v>
      </c>
      <c r="H712">
        <v>0</v>
      </c>
      <c r="L712">
        <v>9</v>
      </c>
      <c r="M712">
        <v>0</v>
      </c>
    </row>
    <row r="713" spans="1:13" ht="15.75" customHeight="1" x14ac:dyDescent="0.2">
      <c r="A713">
        <f t="shared" ref="A713:A768" si="23">IF(B713=B714,1,0)</f>
        <v>1</v>
      </c>
      <c r="B713" t="s">
        <v>135</v>
      </c>
      <c r="C713" t="s">
        <v>95</v>
      </c>
      <c r="D713" t="s">
        <v>281</v>
      </c>
      <c r="E713" t="s">
        <v>294</v>
      </c>
      <c r="F713">
        <v>2007</v>
      </c>
      <c r="G713">
        <v>1</v>
      </c>
      <c r="H713">
        <v>0</v>
      </c>
      <c r="L713">
        <v>8</v>
      </c>
      <c r="M713">
        <v>0</v>
      </c>
    </row>
    <row r="714" spans="1:13" ht="15.75" customHeight="1" x14ac:dyDescent="0.2">
      <c r="A714">
        <f t="shared" si="23"/>
        <v>1</v>
      </c>
      <c r="B714" t="s">
        <v>135</v>
      </c>
      <c r="C714" t="s">
        <v>95</v>
      </c>
      <c r="D714" t="s">
        <v>281</v>
      </c>
      <c r="E714" t="s">
        <v>293</v>
      </c>
      <c r="F714">
        <v>2009</v>
      </c>
      <c r="G714">
        <v>1</v>
      </c>
      <c r="H714">
        <v>0</v>
      </c>
      <c r="L714">
        <v>7</v>
      </c>
      <c r="M714">
        <v>0</v>
      </c>
    </row>
    <row r="715" spans="1:13" ht="15.75" customHeight="1" x14ac:dyDescent="0.2">
      <c r="A715">
        <f t="shared" si="23"/>
        <v>1</v>
      </c>
      <c r="B715" t="s">
        <v>135</v>
      </c>
      <c r="C715" t="s">
        <v>95</v>
      </c>
      <c r="D715" t="s">
        <v>244</v>
      </c>
      <c r="E715" t="s">
        <v>237</v>
      </c>
      <c r="F715">
        <v>2009</v>
      </c>
      <c r="G715">
        <v>1</v>
      </c>
      <c r="H715">
        <v>1</v>
      </c>
      <c r="I715" t="str">
        <f>IF(H715=1,B715,"")</f>
        <v>Uganda</v>
      </c>
      <c r="L715">
        <v>6</v>
      </c>
      <c r="M715">
        <v>0</v>
      </c>
    </row>
    <row r="716" spans="1:13" ht="15.75" customHeight="1" x14ac:dyDescent="0.2">
      <c r="A716">
        <f t="shared" si="23"/>
        <v>1</v>
      </c>
      <c r="B716" t="s">
        <v>135</v>
      </c>
      <c r="C716" t="s">
        <v>95</v>
      </c>
      <c r="D716" t="s">
        <v>244</v>
      </c>
      <c r="E716" t="s">
        <v>237</v>
      </c>
      <c r="F716">
        <v>2010</v>
      </c>
      <c r="G716">
        <v>1</v>
      </c>
      <c r="H716">
        <v>0</v>
      </c>
      <c r="L716">
        <v>5</v>
      </c>
      <c r="M716">
        <v>0</v>
      </c>
    </row>
    <row r="717" spans="1:13" ht="15.75" customHeight="1" x14ac:dyDescent="0.2">
      <c r="A717">
        <f t="shared" si="23"/>
        <v>1</v>
      </c>
      <c r="B717" t="s">
        <v>135</v>
      </c>
      <c r="C717" t="s">
        <v>95</v>
      </c>
      <c r="D717" t="s">
        <v>281</v>
      </c>
      <c r="E717" t="s">
        <v>293</v>
      </c>
      <c r="F717">
        <v>2011</v>
      </c>
      <c r="G717">
        <v>1</v>
      </c>
      <c r="H717">
        <v>0</v>
      </c>
      <c r="L717">
        <v>4</v>
      </c>
      <c r="M717">
        <v>0</v>
      </c>
    </row>
    <row r="718" spans="1:13" ht="15.75" customHeight="1" x14ac:dyDescent="0.2">
      <c r="A718">
        <f t="shared" si="23"/>
        <v>1</v>
      </c>
      <c r="B718" t="s">
        <v>135</v>
      </c>
      <c r="C718" t="s">
        <v>95</v>
      </c>
      <c r="D718" t="s">
        <v>281</v>
      </c>
      <c r="E718" t="s">
        <v>275</v>
      </c>
      <c r="F718">
        <v>2011</v>
      </c>
      <c r="G718">
        <v>1</v>
      </c>
      <c r="H718">
        <v>0</v>
      </c>
      <c r="L718">
        <v>3</v>
      </c>
      <c r="M718">
        <v>0</v>
      </c>
    </row>
    <row r="719" spans="1:13" ht="15.75" customHeight="1" x14ac:dyDescent="0.2">
      <c r="A719">
        <f t="shared" si="23"/>
        <v>1</v>
      </c>
      <c r="B719" t="s">
        <v>135</v>
      </c>
      <c r="C719" t="s">
        <v>95</v>
      </c>
      <c r="D719" t="s">
        <v>244</v>
      </c>
      <c r="E719" t="s">
        <v>237</v>
      </c>
      <c r="F719">
        <v>2011</v>
      </c>
      <c r="G719">
        <v>1</v>
      </c>
      <c r="H719">
        <v>0</v>
      </c>
      <c r="L719">
        <v>2</v>
      </c>
      <c r="M719">
        <v>0</v>
      </c>
    </row>
    <row r="720" spans="1:13" ht="15.75" customHeight="1" x14ac:dyDescent="0.2">
      <c r="A720">
        <f t="shared" si="23"/>
        <v>0</v>
      </c>
      <c r="B720" s="97" t="s">
        <v>135</v>
      </c>
      <c r="C720" s="97"/>
      <c r="D720" s="97" t="s">
        <v>281</v>
      </c>
      <c r="E720" s="96" t="s">
        <v>295</v>
      </c>
      <c r="F720" s="97">
        <v>2014</v>
      </c>
      <c r="G720" s="97">
        <v>1</v>
      </c>
      <c r="H720" s="97">
        <v>0</v>
      </c>
      <c r="I720" s="97"/>
      <c r="J720" s="97"/>
      <c r="K720" s="97"/>
      <c r="L720" s="97">
        <v>1</v>
      </c>
      <c r="M720">
        <v>0</v>
      </c>
    </row>
    <row r="721" spans="1:13" ht="15.75" customHeight="1" x14ac:dyDescent="0.2">
      <c r="A721">
        <f t="shared" si="23"/>
        <v>1</v>
      </c>
      <c r="B721" t="s">
        <v>47</v>
      </c>
      <c r="C721" t="s">
        <v>19</v>
      </c>
      <c r="D721" t="s">
        <v>151</v>
      </c>
      <c r="E721">
        <v>2</v>
      </c>
      <c r="F721">
        <v>2000</v>
      </c>
      <c r="G721">
        <v>1</v>
      </c>
      <c r="H721">
        <v>1</v>
      </c>
      <c r="I721" t="str">
        <f>IF(H721=1,B721,"")</f>
        <v>Ukraine</v>
      </c>
      <c r="K721">
        <v>2000</v>
      </c>
      <c r="L721">
        <v>4</v>
      </c>
      <c r="M721">
        <v>1</v>
      </c>
    </row>
    <row r="722" spans="1:13" ht="15.75" customHeight="1" x14ac:dyDescent="0.2">
      <c r="A722">
        <f t="shared" si="23"/>
        <v>1</v>
      </c>
      <c r="B722" t="s">
        <v>47</v>
      </c>
      <c r="C722" t="s">
        <v>19</v>
      </c>
      <c r="D722" t="s">
        <v>151</v>
      </c>
      <c r="E722">
        <v>3</v>
      </c>
      <c r="F722">
        <v>2005</v>
      </c>
      <c r="G722">
        <v>1</v>
      </c>
      <c r="H722">
        <v>0</v>
      </c>
      <c r="I722" t="str">
        <f>IF(H722=1,B722,"")</f>
        <v/>
      </c>
      <c r="K722">
        <v>2005</v>
      </c>
      <c r="L722">
        <v>3</v>
      </c>
      <c r="M722">
        <v>0</v>
      </c>
    </row>
    <row r="723" spans="1:13" ht="15.75" customHeight="1" x14ac:dyDescent="0.2">
      <c r="A723">
        <f t="shared" si="23"/>
        <v>1</v>
      </c>
      <c r="B723" t="s">
        <v>47</v>
      </c>
      <c r="C723" t="s">
        <v>19</v>
      </c>
      <c r="D723" t="s">
        <v>281</v>
      </c>
      <c r="E723" t="s">
        <v>294</v>
      </c>
      <c r="F723">
        <v>2007</v>
      </c>
      <c r="G723">
        <v>1</v>
      </c>
      <c r="H723">
        <v>1</v>
      </c>
      <c r="I723" t="str">
        <f>IF(H723=1,B723,"")</f>
        <v>Ukraine</v>
      </c>
      <c r="L723">
        <v>2</v>
      </c>
      <c r="M723">
        <v>0</v>
      </c>
    </row>
    <row r="724" spans="1:13" ht="15.75" customHeight="1" x14ac:dyDescent="0.2">
      <c r="A724">
        <f t="shared" si="23"/>
        <v>0</v>
      </c>
      <c r="B724" s="105" t="s">
        <v>47</v>
      </c>
      <c r="C724" s="105" t="s">
        <v>19</v>
      </c>
      <c r="D724" s="105" t="s">
        <v>151</v>
      </c>
      <c r="E724" s="105">
        <v>4</v>
      </c>
      <c r="F724" s="105">
        <v>2012</v>
      </c>
      <c r="G724" s="105">
        <v>1</v>
      </c>
      <c r="H724" s="105">
        <v>0</v>
      </c>
      <c r="I724" s="105"/>
      <c r="J724" s="105"/>
      <c r="K724" s="105"/>
      <c r="L724" s="105">
        <v>1</v>
      </c>
      <c r="M724" s="105">
        <v>0</v>
      </c>
    </row>
    <row r="725" spans="1:13" ht="15.75" customHeight="1" x14ac:dyDescent="0.2">
      <c r="A725">
        <f t="shared" si="23"/>
        <v>1</v>
      </c>
      <c r="B725" t="s">
        <v>72</v>
      </c>
      <c r="C725" t="s">
        <v>469</v>
      </c>
      <c r="D725" t="s">
        <v>151</v>
      </c>
      <c r="E725">
        <v>4</v>
      </c>
      <c r="F725">
        <v>2012</v>
      </c>
      <c r="G725">
        <v>1</v>
      </c>
      <c r="H725">
        <v>1</v>
      </c>
      <c r="I725" t="str">
        <f>IF(H725=1,B725,"")</f>
        <v>Uruguay</v>
      </c>
      <c r="J725" t="s">
        <v>467</v>
      </c>
      <c r="L725">
        <v>2</v>
      </c>
      <c r="M725">
        <v>1</v>
      </c>
    </row>
    <row r="726" spans="1:13" ht="15.75" customHeight="1" x14ac:dyDescent="0.2">
      <c r="A726">
        <f t="shared" si="23"/>
        <v>0</v>
      </c>
      <c r="B726" s="97" t="s">
        <v>72</v>
      </c>
      <c r="C726" s="96" t="s">
        <v>172</v>
      </c>
      <c r="D726" s="98" t="s">
        <v>151</v>
      </c>
      <c r="E726" s="104"/>
      <c r="F726" s="98">
        <v>2013</v>
      </c>
      <c r="G726" s="99">
        <v>1</v>
      </c>
      <c r="H726" s="98">
        <v>0</v>
      </c>
      <c r="I726" s="97"/>
      <c r="J726" s="97"/>
      <c r="K726" s="98">
        <v>2012</v>
      </c>
      <c r="L726" s="97">
        <v>1</v>
      </c>
      <c r="M726">
        <v>0</v>
      </c>
    </row>
    <row r="727" spans="1:13" ht="15.75" customHeight="1" x14ac:dyDescent="0.2">
      <c r="A727">
        <f t="shared" si="23"/>
        <v>1</v>
      </c>
      <c r="B727" t="s">
        <v>157</v>
      </c>
      <c r="C727" t="s">
        <v>19</v>
      </c>
      <c r="D727" t="s">
        <v>281</v>
      </c>
      <c r="E727" t="s">
        <v>299</v>
      </c>
      <c r="F727">
        <v>1996</v>
      </c>
      <c r="G727">
        <v>1</v>
      </c>
      <c r="H727">
        <v>1</v>
      </c>
      <c r="I727" t="str">
        <f>IF(H727=1,B727,"")</f>
        <v>Uzbekistan</v>
      </c>
      <c r="L727">
        <v>4</v>
      </c>
      <c r="M727">
        <v>1</v>
      </c>
    </row>
    <row r="728" spans="1:13" ht="15.75" customHeight="1" x14ac:dyDescent="0.2">
      <c r="A728">
        <f t="shared" si="23"/>
        <v>1</v>
      </c>
      <c r="B728" t="s">
        <v>157</v>
      </c>
      <c r="C728" t="s">
        <v>19</v>
      </c>
      <c r="D728" t="s">
        <v>151</v>
      </c>
      <c r="E728">
        <v>2</v>
      </c>
      <c r="F728">
        <v>2000</v>
      </c>
      <c r="G728">
        <v>1</v>
      </c>
      <c r="H728">
        <v>1</v>
      </c>
      <c r="I728" t="str">
        <f>IF(H728=1,B728,"")</f>
        <v>Uzbekistan</v>
      </c>
      <c r="K728">
        <v>2000</v>
      </c>
      <c r="L728">
        <v>3</v>
      </c>
      <c r="M728">
        <v>0</v>
      </c>
    </row>
    <row r="729" spans="1:13" ht="15.75" customHeight="1" x14ac:dyDescent="0.2">
      <c r="A729">
        <f t="shared" si="23"/>
        <v>1</v>
      </c>
      <c r="B729" t="s">
        <v>157</v>
      </c>
      <c r="C729" t="s">
        <v>19</v>
      </c>
      <c r="D729" t="s">
        <v>281</v>
      </c>
      <c r="E729" t="s">
        <v>294</v>
      </c>
      <c r="F729">
        <v>2002</v>
      </c>
      <c r="G729">
        <v>1</v>
      </c>
      <c r="H729">
        <v>0</v>
      </c>
      <c r="L729">
        <v>2</v>
      </c>
      <c r="M729">
        <v>0</v>
      </c>
    </row>
    <row r="730" spans="1:13" ht="15.75" customHeight="1" x14ac:dyDescent="0.2">
      <c r="A730">
        <f t="shared" si="23"/>
        <v>0</v>
      </c>
      <c r="B730" t="s">
        <v>157</v>
      </c>
      <c r="C730" t="s">
        <v>19</v>
      </c>
      <c r="D730" t="s">
        <v>151</v>
      </c>
      <c r="E730">
        <v>3</v>
      </c>
      <c r="F730">
        <v>2006</v>
      </c>
      <c r="G730">
        <v>1</v>
      </c>
      <c r="H730">
        <v>0</v>
      </c>
      <c r="I730" t="str">
        <f>IF(H730=1,B730,"")</f>
        <v/>
      </c>
      <c r="K730">
        <v>2006</v>
      </c>
      <c r="L730">
        <v>1</v>
      </c>
      <c r="M730">
        <v>0</v>
      </c>
    </row>
    <row r="731" spans="1:13" x14ac:dyDescent="0.2">
      <c r="A731">
        <f t="shared" si="23"/>
        <v>0</v>
      </c>
      <c r="B731" t="s">
        <v>163</v>
      </c>
      <c r="C731" t="s">
        <v>158</v>
      </c>
      <c r="D731" t="s">
        <v>151</v>
      </c>
      <c r="E731">
        <v>3</v>
      </c>
      <c r="F731">
        <v>2007</v>
      </c>
      <c r="G731">
        <v>1</v>
      </c>
      <c r="H731">
        <v>1</v>
      </c>
      <c r="I731" t="str">
        <f>IF(H731=1,B731,"")</f>
        <v>Vanuatu</v>
      </c>
      <c r="K731">
        <v>2007</v>
      </c>
      <c r="L731">
        <v>1</v>
      </c>
      <c r="M731">
        <v>1</v>
      </c>
    </row>
    <row r="732" spans="1:13" ht="15.75" customHeight="1" x14ac:dyDescent="0.2">
      <c r="A732">
        <f t="shared" si="23"/>
        <v>0</v>
      </c>
      <c r="B732" t="s">
        <v>73</v>
      </c>
      <c r="C732" t="s">
        <v>469</v>
      </c>
      <c r="D732" t="s">
        <v>151</v>
      </c>
      <c r="E732">
        <v>2</v>
      </c>
      <c r="F732">
        <v>2000</v>
      </c>
      <c r="G732">
        <v>1</v>
      </c>
      <c r="H732">
        <v>1</v>
      </c>
      <c r="I732" t="str">
        <f>IF(H732=1,B732,"")</f>
        <v>Venezuela</v>
      </c>
      <c r="K732">
        <v>2000</v>
      </c>
      <c r="L732">
        <v>1</v>
      </c>
      <c r="M732">
        <v>1</v>
      </c>
    </row>
    <row r="733" spans="1:13" ht="15.75" customHeight="1" x14ac:dyDescent="0.2">
      <c r="A733">
        <f t="shared" si="23"/>
        <v>1</v>
      </c>
      <c r="B733" t="s">
        <v>164</v>
      </c>
      <c r="C733" t="s">
        <v>158</v>
      </c>
      <c r="D733" t="s">
        <v>244</v>
      </c>
      <c r="E733" t="s">
        <v>215</v>
      </c>
      <c r="F733">
        <v>1992</v>
      </c>
      <c r="G733">
        <v>1</v>
      </c>
      <c r="H733">
        <v>1</v>
      </c>
      <c r="L733">
        <v>14</v>
      </c>
      <c r="M733">
        <v>1</v>
      </c>
    </row>
    <row r="734" spans="1:13" ht="15.75" customHeight="1" x14ac:dyDescent="0.2">
      <c r="A734">
        <f t="shared" si="23"/>
        <v>1</v>
      </c>
      <c r="B734" t="s">
        <v>164</v>
      </c>
      <c r="C734" t="s">
        <v>158</v>
      </c>
      <c r="D734" t="s">
        <v>281</v>
      </c>
      <c r="E734" t="s">
        <v>294</v>
      </c>
      <c r="F734">
        <v>1997</v>
      </c>
      <c r="G734">
        <v>1</v>
      </c>
      <c r="H734">
        <v>1</v>
      </c>
      <c r="I734" t="str">
        <f>IF(H734=1,B734,"")</f>
        <v>Viet Nam</v>
      </c>
      <c r="L734">
        <v>12</v>
      </c>
      <c r="M734">
        <v>0</v>
      </c>
    </row>
    <row r="735" spans="1:13" ht="15.75" customHeight="1" x14ac:dyDescent="0.2">
      <c r="A735">
        <f t="shared" si="23"/>
        <v>1</v>
      </c>
      <c r="B735" t="s">
        <v>164</v>
      </c>
      <c r="C735" t="s">
        <v>158</v>
      </c>
      <c r="D735" t="s">
        <v>244</v>
      </c>
      <c r="E735" t="s">
        <v>215</v>
      </c>
      <c r="F735">
        <v>1997</v>
      </c>
      <c r="G735">
        <v>1</v>
      </c>
      <c r="H735">
        <v>0</v>
      </c>
      <c r="L735">
        <v>13</v>
      </c>
      <c r="M735">
        <v>0</v>
      </c>
    </row>
    <row r="736" spans="1:13" ht="15.75" customHeight="1" x14ac:dyDescent="0.2">
      <c r="A736">
        <f t="shared" si="23"/>
        <v>1</v>
      </c>
      <c r="B736" t="s">
        <v>164</v>
      </c>
      <c r="C736" t="s">
        <v>158</v>
      </c>
      <c r="D736" t="s">
        <v>151</v>
      </c>
      <c r="E736">
        <v>2</v>
      </c>
      <c r="F736">
        <v>2000</v>
      </c>
      <c r="G736">
        <v>1</v>
      </c>
      <c r="H736">
        <v>1</v>
      </c>
      <c r="I736" t="str">
        <f>IF(H736=1,B736,"")</f>
        <v>Viet Nam</v>
      </c>
      <c r="K736">
        <v>2000</v>
      </c>
      <c r="L736">
        <v>11</v>
      </c>
      <c r="M736">
        <v>0</v>
      </c>
    </row>
    <row r="737" spans="1:13" ht="15.75" customHeight="1" x14ac:dyDescent="0.2">
      <c r="A737">
        <f t="shared" si="23"/>
        <v>1</v>
      </c>
      <c r="B737" t="s">
        <v>164</v>
      </c>
      <c r="C737" t="s">
        <v>158</v>
      </c>
      <c r="D737" t="s">
        <v>281</v>
      </c>
      <c r="E737" t="s">
        <v>275</v>
      </c>
      <c r="F737">
        <v>2002</v>
      </c>
      <c r="G737">
        <v>1</v>
      </c>
      <c r="H737">
        <v>0</v>
      </c>
      <c r="L737">
        <v>9</v>
      </c>
      <c r="M737">
        <v>0</v>
      </c>
    </row>
    <row r="738" spans="1:13" ht="15.75" customHeight="1" x14ac:dyDescent="0.2">
      <c r="A738">
        <f t="shared" si="23"/>
        <v>1</v>
      </c>
      <c r="B738" t="s">
        <v>164</v>
      </c>
      <c r="C738" t="s">
        <v>158</v>
      </c>
      <c r="D738" t="s">
        <v>244</v>
      </c>
      <c r="E738" t="s">
        <v>240</v>
      </c>
      <c r="F738">
        <v>2002</v>
      </c>
      <c r="G738">
        <v>1</v>
      </c>
      <c r="H738">
        <v>0</v>
      </c>
      <c r="L738">
        <v>10</v>
      </c>
      <c r="M738">
        <v>0</v>
      </c>
    </row>
    <row r="739" spans="1:13" x14ac:dyDescent="0.2">
      <c r="A739">
        <f t="shared" si="23"/>
        <v>1</v>
      </c>
      <c r="B739" t="s">
        <v>164</v>
      </c>
      <c r="C739" t="s">
        <v>158</v>
      </c>
      <c r="D739" t="s">
        <v>244</v>
      </c>
      <c r="E739" t="s">
        <v>240</v>
      </c>
      <c r="F739">
        <v>2004</v>
      </c>
      <c r="G739">
        <v>1</v>
      </c>
      <c r="H739">
        <v>0</v>
      </c>
      <c r="L739">
        <v>8</v>
      </c>
      <c r="M739">
        <v>0</v>
      </c>
    </row>
    <row r="740" spans="1:13" ht="15.75" customHeight="1" x14ac:dyDescent="0.2">
      <c r="A740">
        <f t="shared" si="23"/>
        <v>1</v>
      </c>
      <c r="B740" t="s">
        <v>164</v>
      </c>
      <c r="C740" t="s">
        <v>158</v>
      </c>
      <c r="D740" t="s">
        <v>281</v>
      </c>
      <c r="E740" t="s">
        <v>294</v>
      </c>
      <c r="F740">
        <v>2005</v>
      </c>
      <c r="G740">
        <v>1</v>
      </c>
      <c r="H740">
        <v>0</v>
      </c>
      <c r="L740">
        <v>7</v>
      </c>
      <c r="M740">
        <v>0</v>
      </c>
    </row>
    <row r="741" spans="1:13" ht="15.75" customHeight="1" x14ac:dyDescent="0.2">
      <c r="A741">
        <f t="shared" si="23"/>
        <v>1</v>
      </c>
      <c r="B741" t="s">
        <v>164</v>
      </c>
      <c r="C741" t="s">
        <v>158</v>
      </c>
      <c r="D741" t="s">
        <v>244</v>
      </c>
      <c r="E741" t="s">
        <v>240</v>
      </c>
      <c r="F741">
        <v>2006</v>
      </c>
      <c r="G741">
        <v>1</v>
      </c>
      <c r="H741">
        <v>0</v>
      </c>
      <c r="L741">
        <v>6</v>
      </c>
      <c r="M741">
        <v>0</v>
      </c>
    </row>
    <row r="742" spans="1:13" ht="15.75" customHeight="1" x14ac:dyDescent="0.2">
      <c r="A742">
        <f t="shared" si="23"/>
        <v>1</v>
      </c>
      <c r="B742" t="s">
        <v>164</v>
      </c>
      <c r="C742" t="s">
        <v>158</v>
      </c>
      <c r="D742" t="s">
        <v>151</v>
      </c>
      <c r="E742">
        <v>3</v>
      </c>
      <c r="F742">
        <v>2006</v>
      </c>
      <c r="G742">
        <v>1</v>
      </c>
      <c r="H742">
        <v>0</v>
      </c>
      <c r="I742" t="str">
        <f>IF(H742=1,B742,"")</f>
        <v/>
      </c>
      <c r="K742">
        <v>2006</v>
      </c>
      <c r="L742">
        <v>5</v>
      </c>
      <c r="M742">
        <v>0</v>
      </c>
    </row>
    <row r="743" spans="1:13" ht="15.75" customHeight="1" x14ac:dyDescent="0.2">
      <c r="A743">
        <f t="shared" si="23"/>
        <v>1</v>
      </c>
      <c r="B743" t="s">
        <v>164</v>
      </c>
      <c r="C743" t="s">
        <v>158</v>
      </c>
      <c r="D743" t="s">
        <v>244</v>
      </c>
      <c r="E743" t="s">
        <v>240</v>
      </c>
      <c r="F743">
        <v>2008</v>
      </c>
      <c r="G743">
        <v>1</v>
      </c>
      <c r="H743">
        <v>0</v>
      </c>
      <c r="L743">
        <v>4</v>
      </c>
      <c r="M743">
        <v>0</v>
      </c>
    </row>
    <row r="744" spans="1:13" ht="15.75" customHeight="1" x14ac:dyDescent="0.2">
      <c r="A744">
        <f t="shared" si="23"/>
        <v>1</v>
      </c>
      <c r="B744" t="s">
        <v>164</v>
      </c>
      <c r="C744" t="s">
        <v>158</v>
      </c>
      <c r="D744" t="s">
        <v>244</v>
      </c>
      <c r="E744" t="s">
        <v>240</v>
      </c>
      <c r="F744">
        <v>2010</v>
      </c>
      <c r="G744">
        <v>1</v>
      </c>
      <c r="H744">
        <v>0</v>
      </c>
      <c r="L744">
        <v>3</v>
      </c>
      <c r="M744">
        <v>0</v>
      </c>
    </row>
    <row r="745" spans="1:13" ht="15.75" customHeight="1" x14ac:dyDescent="0.2">
      <c r="A745">
        <f t="shared" si="23"/>
        <v>1</v>
      </c>
      <c r="B745" t="s">
        <v>164</v>
      </c>
      <c r="C745" t="s">
        <v>158</v>
      </c>
      <c r="D745" t="s">
        <v>151</v>
      </c>
      <c r="E745">
        <v>4</v>
      </c>
      <c r="F745">
        <v>2011</v>
      </c>
      <c r="G745">
        <v>1</v>
      </c>
      <c r="H745">
        <v>0</v>
      </c>
      <c r="I745" t="str">
        <f>IF(H745=1,B745,"")</f>
        <v/>
      </c>
      <c r="K745">
        <v>2010</v>
      </c>
      <c r="L745">
        <v>2</v>
      </c>
      <c r="M745">
        <v>0</v>
      </c>
    </row>
    <row r="746" spans="1:13" ht="15.75" customHeight="1" x14ac:dyDescent="0.2">
      <c r="A746">
        <f t="shared" si="23"/>
        <v>0</v>
      </c>
      <c r="B746" t="s">
        <v>164</v>
      </c>
      <c r="C746" t="s">
        <v>158</v>
      </c>
      <c r="D746" t="s">
        <v>151</v>
      </c>
      <c r="E746">
        <v>3</v>
      </c>
      <c r="F746">
        <v>2014</v>
      </c>
      <c r="G746">
        <v>1</v>
      </c>
      <c r="H746">
        <v>0</v>
      </c>
      <c r="K746">
        <v>2013</v>
      </c>
      <c r="L746">
        <v>1</v>
      </c>
      <c r="M746">
        <v>0</v>
      </c>
    </row>
    <row r="747" spans="1:13" ht="15.75" customHeight="1" x14ac:dyDescent="0.2">
      <c r="A747">
        <f t="shared" si="23"/>
        <v>1</v>
      </c>
      <c r="B747" t="s">
        <v>85</v>
      </c>
      <c r="C747" t="s">
        <v>468</v>
      </c>
      <c r="D747" t="s">
        <v>281</v>
      </c>
      <c r="E747" t="s">
        <v>295</v>
      </c>
      <c r="F747">
        <v>1991</v>
      </c>
      <c r="G747">
        <v>1</v>
      </c>
      <c r="H747">
        <v>1</v>
      </c>
      <c r="I747" t="str">
        <f>IF(H747=1,B747,"")</f>
        <v>Yemen</v>
      </c>
      <c r="L747">
        <v>5</v>
      </c>
      <c r="M747">
        <v>1</v>
      </c>
    </row>
    <row r="748" spans="1:13" ht="15.75" customHeight="1" x14ac:dyDescent="0.2">
      <c r="A748">
        <f t="shared" si="23"/>
        <v>1</v>
      </c>
      <c r="B748" t="s">
        <v>85</v>
      </c>
      <c r="C748" t="s">
        <v>468</v>
      </c>
      <c r="D748" t="s">
        <v>281</v>
      </c>
      <c r="E748" t="s">
        <v>275</v>
      </c>
      <c r="F748">
        <v>1997</v>
      </c>
      <c r="G748">
        <v>1</v>
      </c>
      <c r="H748">
        <v>0</v>
      </c>
      <c r="L748">
        <v>4</v>
      </c>
      <c r="M748">
        <v>0</v>
      </c>
    </row>
    <row r="749" spans="1:13" ht="15.75" customHeight="1" x14ac:dyDescent="0.2">
      <c r="A749">
        <f t="shared" si="23"/>
        <v>1</v>
      </c>
      <c r="B749" t="s">
        <v>85</v>
      </c>
      <c r="C749" t="s">
        <v>468</v>
      </c>
      <c r="D749" t="s">
        <v>380</v>
      </c>
      <c r="E749" t="s">
        <v>330</v>
      </c>
      <c r="F749">
        <v>2003</v>
      </c>
      <c r="G749">
        <v>1</v>
      </c>
      <c r="H749">
        <v>1</v>
      </c>
      <c r="I749" t="str">
        <f>IF(H749=1,B749,"")</f>
        <v>Yemen</v>
      </c>
      <c r="L749">
        <v>3</v>
      </c>
      <c r="M749">
        <v>0</v>
      </c>
    </row>
    <row r="750" spans="1:13" ht="15.75" customHeight="1" x14ac:dyDescent="0.2">
      <c r="A750">
        <f t="shared" si="23"/>
        <v>1</v>
      </c>
      <c r="B750" t="s">
        <v>85</v>
      </c>
      <c r="C750" t="s">
        <v>468</v>
      </c>
      <c r="D750" t="s">
        <v>151</v>
      </c>
      <c r="E750">
        <v>3</v>
      </c>
      <c r="F750">
        <v>2006</v>
      </c>
      <c r="G750">
        <v>1</v>
      </c>
      <c r="H750">
        <v>1</v>
      </c>
      <c r="I750" t="str">
        <f>IF(H750=1,B750,"")</f>
        <v>Yemen</v>
      </c>
      <c r="K750">
        <v>2006</v>
      </c>
      <c r="L750">
        <v>2</v>
      </c>
      <c r="M750">
        <v>0</v>
      </c>
    </row>
    <row r="751" spans="1:13" ht="15.75" customHeight="1" x14ac:dyDescent="0.2">
      <c r="A751">
        <f t="shared" si="23"/>
        <v>0</v>
      </c>
      <c r="B751" t="s">
        <v>85</v>
      </c>
      <c r="C751" t="s">
        <v>468</v>
      </c>
      <c r="D751" t="s">
        <v>281</v>
      </c>
      <c r="E751" t="s">
        <v>294</v>
      </c>
      <c r="F751">
        <v>2013</v>
      </c>
      <c r="G751">
        <v>1</v>
      </c>
      <c r="H751">
        <v>0</v>
      </c>
      <c r="L751">
        <v>1</v>
      </c>
      <c r="M751">
        <v>0</v>
      </c>
    </row>
    <row r="752" spans="1:13" ht="15.75" customHeight="1" x14ac:dyDescent="0.2">
      <c r="A752">
        <f t="shared" si="23"/>
        <v>1</v>
      </c>
      <c r="B752" t="s">
        <v>186</v>
      </c>
      <c r="C752" t="s">
        <v>19</v>
      </c>
      <c r="D752" t="s">
        <v>151</v>
      </c>
      <c r="E752">
        <v>1</v>
      </c>
      <c r="F752">
        <v>1996</v>
      </c>
      <c r="G752">
        <v>1</v>
      </c>
      <c r="H752">
        <v>1</v>
      </c>
      <c r="I752" t="str">
        <f>IF(H752=1,B752,"")</f>
        <v>Yugoslavia</v>
      </c>
      <c r="K752">
        <v>1996</v>
      </c>
      <c r="L752">
        <v>2</v>
      </c>
      <c r="M752">
        <v>1</v>
      </c>
    </row>
    <row r="753" spans="1:13" ht="15.75" customHeight="1" x14ac:dyDescent="0.2">
      <c r="A753">
        <f t="shared" si="23"/>
        <v>0</v>
      </c>
      <c r="B753" t="s">
        <v>186</v>
      </c>
      <c r="C753" t="s">
        <v>19</v>
      </c>
      <c r="D753" t="s">
        <v>151</v>
      </c>
      <c r="E753">
        <v>2</v>
      </c>
      <c r="F753">
        <v>2000</v>
      </c>
      <c r="G753">
        <v>1</v>
      </c>
      <c r="H753">
        <v>0</v>
      </c>
      <c r="I753" t="str">
        <f>IF(H753=1,B753,"")</f>
        <v/>
      </c>
      <c r="K753">
        <v>2000</v>
      </c>
      <c r="L753">
        <v>1</v>
      </c>
      <c r="M753">
        <v>0</v>
      </c>
    </row>
    <row r="754" spans="1:13" ht="15.75" customHeight="1" x14ac:dyDescent="0.2">
      <c r="A754">
        <f t="shared" si="23"/>
        <v>1</v>
      </c>
      <c r="B754" t="s">
        <v>136</v>
      </c>
      <c r="C754" t="s">
        <v>95</v>
      </c>
      <c r="D754" t="s">
        <v>281</v>
      </c>
      <c r="E754" t="s">
        <v>294</v>
      </c>
      <c r="F754">
        <v>1992</v>
      </c>
      <c r="G754">
        <v>1</v>
      </c>
      <c r="H754">
        <v>1</v>
      </c>
      <c r="I754" t="str">
        <f>IF(H754=1,B754,"")</f>
        <v>Zambia</v>
      </c>
      <c r="L754">
        <v>8</v>
      </c>
      <c r="M754">
        <v>1</v>
      </c>
    </row>
    <row r="755" spans="1:13" ht="15.75" customHeight="1" x14ac:dyDescent="0.2">
      <c r="A755">
        <f t="shared" si="23"/>
        <v>1</v>
      </c>
      <c r="B755" t="s">
        <v>136</v>
      </c>
      <c r="C755" t="s">
        <v>95</v>
      </c>
      <c r="D755" t="s">
        <v>151</v>
      </c>
      <c r="E755">
        <v>1</v>
      </c>
      <c r="F755">
        <v>1995</v>
      </c>
      <c r="G755">
        <v>1</v>
      </c>
      <c r="H755">
        <v>1</v>
      </c>
      <c r="I755" t="str">
        <f>IF(H755=1,B755,"")</f>
        <v>Zambia</v>
      </c>
      <c r="K755">
        <v>1995</v>
      </c>
      <c r="L755">
        <v>7</v>
      </c>
      <c r="M755">
        <v>0</v>
      </c>
    </row>
    <row r="756" spans="1:13" ht="15.75" customHeight="1" x14ac:dyDescent="0.2">
      <c r="A756">
        <f t="shared" si="23"/>
        <v>1</v>
      </c>
      <c r="B756" t="s">
        <v>136</v>
      </c>
      <c r="C756" t="s">
        <v>95</v>
      </c>
      <c r="D756" t="s">
        <v>281</v>
      </c>
      <c r="E756" t="s">
        <v>293</v>
      </c>
      <c r="F756">
        <v>1996</v>
      </c>
      <c r="G756">
        <v>1</v>
      </c>
      <c r="H756">
        <v>0</v>
      </c>
      <c r="L756">
        <v>6</v>
      </c>
      <c r="M756">
        <v>0</v>
      </c>
    </row>
    <row r="757" spans="1:13" ht="15.75" customHeight="1" x14ac:dyDescent="0.2">
      <c r="A757">
        <f t="shared" si="23"/>
        <v>1</v>
      </c>
      <c r="B757" t="s">
        <v>136</v>
      </c>
      <c r="C757" t="s">
        <v>95</v>
      </c>
      <c r="D757" t="s">
        <v>151</v>
      </c>
      <c r="E757">
        <v>2</v>
      </c>
      <c r="F757">
        <v>1999</v>
      </c>
      <c r="G757">
        <v>1</v>
      </c>
      <c r="H757">
        <v>0</v>
      </c>
      <c r="I757" t="str">
        <f>IF(H757=1,B757,"")</f>
        <v/>
      </c>
      <c r="K757">
        <v>1999</v>
      </c>
      <c r="L757">
        <v>5</v>
      </c>
      <c r="M757">
        <v>0</v>
      </c>
    </row>
    <row r="758" spans="1:13" ht="15.75" customHeight="1" x14ac:dyDescent="0.2">
      <c r="A758">
        <f t="shared" si="23"/>
        <v>1</v>
      </c>
      <c r="B758" t="s">
        <v>136</v>
      </c>
      <c r="C758" t="s">
        <v>95</v>
      </c>
      <c r="D758" t="s">
        <v>281</v>
      </c>
      <c r="E758" t="s">
        <v>294</v>
      </c>
      <c r="F758">
        <v>2002</v>
      </c>
      <c r="G758">
        <v>1</v>
      </c>
      <c r="H758">
        <v>0</v>
      </c>
      <c r="L758">
        <v>4</v>
      </c>
      <c r="M758">
        <v>0</v>
      </c>
    </row>
    <row r="759" spans="1:13" ht="15.75" customHeight="1" x14ac:dyDescent="0.2">
      <c r="A759">
        <f t="shared" si="23"/>
        <v>1</v>
      </c>
      <c r="B759" t="s">
        <v>136</v>
      </c>
      <c r="C759" t="s">
        <v>95</v>
      </c>
      <c r="D759" t="s">
        <v>281</v>
      </c>
      <c r="E759" t="s">
        <v>295</v>
      </c>
      <c r="F759">
        <v>2005</v>
      </c>
      <c r="G759">
        <v>1</v>
      </c>
      <c r="H759">
        <v>0</v>
      </c>
      <c r="L759">
        <v>3</v>
      </c>
      <c r="M759">
        <v>0</v>
      </c>
    </row>
    <row r="760" spans="1:13" ht="15.75" customHeight="1" x14ac:dyDescent="0.2">
      <c r="A760">
        <f t="shared" si="23"/>
        <v>1</v>
      </c>
      <c r="B760" t="s">
        <v>136</v>
      </c>
      <c r="C760" t="s">
        <v>95</v>
      </c>
      <c r="D760" t="s">
        <v>281</v>
      </c>
      <c r="E760" t="s">
        <v>293</v>
      </c>
      <c r="F760">
        <v>2007</v>
      </c>
      <c r="G760">
        <v>1</v>
      </c>
      <c r="H760">
        <v>0</v>
      </c>
      <c r="L760">
        <v>2</v>
      </c>
      <c r="M760">
        <v>0</v>
      </c>
    </row>
    <row r="761" spans="1:13" x14ac:dyDescent="0.2">
      <c r="A761">
        <f t="shared" si="23"/>
        <v>0</v>
      </c>
      <c r="B761" s="105" t="s">
        <v>136</v>
      </c>
      <c r="C761" s="105" t="s">
        <v>95</v>
      </c>
      <c r="D761" s="105" t="s">
        <v>281</v>
      </c>
      <c r="E761" s="105" t="s">
        <v>295</v>
      </c>
      <c r="F761" s="105">
        <v>2013</v>
      </c>
      <c r="G761" s="105">
        <v>1</v>
      </c>
      <c r="H761" s="105">
        <v>0</v>
      </c>
      <c r="I761" s="105"/>
      <c r="J761" s="105"/>
      <c r="K761" s="105"/>
      <c r="L761" s="105">
        <v>1</v>
      </c>
      <c r="M761" s="105">
        <v>0</v>
      </c>
    </row>
    <row r="762" spans="1:13" x14ac:dyDescent="0.2">
      <c r="A762">
        <f t="shared" si="23"/>
        <v>1</v>
      </c>
      <c r="B762" t="s">
        <v>167</v>
      </c>
      <c r="C762" t="s">
        <v>95</v>
      </c>
      <c r="D762" t="s">
        <v>281</v>
      </c>
      <c r="E762" t="s">
        <v>294</v>
      </c>
      <c r="F762">
        <v>1988</v>
      </c>
      <c r="G762">
        <v>1</v>
      </c>
      <c r="H762">
        <v>1</v>
      </c>
      <c r="I762" t="str">
        <f>IF(H762=1,B762,"")</f>
        <v>Zimbabwe</v>
      </c>
      <c r="L762">
        <v>7</v>
      </c>
      <c r="M762">
        <v>1</v>
      </c>
    </row>
    <row r="763" spans="1:13" x14ac:dyDescent="0.2">
      <c r="A763">
        <f t="shared" si="23"/>
        <v>1</v>
      </c>
      <c r="B763" t="s">
        <v>167</v>
      </c>
      <c r="C763" t="s">
        <v>95</v>
      </c>
      <c r="D763" t="s">
        <v>281</v>
      </c>
      <c r="E763" t="s">
        <v>275</v>
      </c>
      <c r="F763">
        <v>1994</v>
      </c>
      <c r="G763">
        <v>1</v>
      </c>
      <c r="H763">
        <v>0</v>
      </c>
      <c r="L763">
        <v>6</v>
      </c>
      <c r="M763">
        <v>0</v>
      </c>
    </row>
    <row r="764" spans="1:13" x14ac:dyDescent="0.2">
      <c r="A764">
        <f t="shared" si="23"/>
        <v>1</v>
      </c>
      <c r="B764" t="s">
        <v>167</v>
      </c>
      <c r="C764" t="s">
        <v>95</v>
      </c>
      <c r="D764" t="s">
        <v>281</v>
      </c>
      <c r="E764" t="s">
        <v>294</v>
      </c>
      <c r="F764">
        <v>1999</v>
      </c>
      <c r="G764">
        <v>1</v>
      </c>
      <c r="H764">
        <v>0</v>
      </c>
      <c r="L764">
        <v>5</v>
      </c>
      <c r="M764">
        <v>0</v>
      </c>
    </row>
    <row r="765" spans="1:13" x14ac:dyDescent="0.2">
      <c r="A765">
        <f t="shared" si="23"/>
        <v>1</v>
      </c>
      <c r="B765" t="s">
        <v>167</v>
      </c>
      <c r="C765" t="s">
        <v>95</v>
      </c>
      <c r="D765" t="s">
        <v>281</v>
      </c>
      <c r="E765" t="s">
        <v>294</v>
      </c>
      <c r="F765">
        <v>2005</v>
      </c>
      <c r="G765">
        <v>1</v>
      </c>
      <c r="H765">
        <v>0</v>
      </c>
      <c r="L765">
        <v>4</v>
      </c>
      <c r="M765">
        <v>0</v>
      </c>
    </row>
    <row r="766" spans="1:13" x14ac:dyDescent="0.2">
      <c r="A766">
        <f t="shared" si="23"/>
        <v>1</v>
      </c>
      <c r="B766" t="s">
        <v>167</v>
      </c>
      <c r="C766" t="s">
        <v>95</v>
      </c>
      <c r="D766" t="s">
        <v>151</v>
      </c>
      <c r="E766">
        <v>3</v>
      </c>
      <c r="F766">
        <v>2009</v>
      </c>
      <c r="G766">
        <v>1</v>
      </c>
      <c r="H766">
        <v>1</v>
      </c>
      <c r="I766" t="str">
        <f>IF(H766=1,B766,"")</f>
        <v>Zimbabwe</v>
      </c>
      <c r="K766">
        <v>2009</v>
      </c>
      <c r="L766">
        <v>3</v>
      </c>
      <c r="M766">
        <v>0</v>
      </c>
    </row>
    <row r="767" spans="1:13" x14ac:dyDescent="0.2">
      <c r="A767">
        <f t="shared" si="23"/>
        <v>1</v>
      </c>
      <c r="B767" t="s">
        <v>167</v>
      </c>
      <c r="C767" t="s">
        <v>95</v>
      </c>
      <c r="D767" t="s">
        <v>281</v>
      </c>
      <c r="E767" t="s">
        <v>294</v>
      </c>
      <c r="F767">
        <v>2010</v>
      </c>
      <c r="G767">
        <v>1</v>
      </c>
      <c r="H767">
        <v>0</v>
      </c>
      <c r="L767">
        <v>2</v>
      </c>
      <c r="M767">
        <v>0</v>
      </c>
    </row>
    <row r="768" spans="1:13" x14ac:dyDescent="0.2">
      <c r="A768">
        <f t="shared" si="23"/>
        <v>0</v>
      </c>
      <c r="B768" s="97" t="s">
        <v>167</v>
      </c>
      <c r="C768" s="97" t="s">
        <v>165</v>
      </c>
      <c r="D768" s="98" t="s">
        <v>151</v>
      </c>
      <c r="E768" s="104"/>
      <c r="F768" s="98">
        <v>2014</v>
      </c>
      <c r="G768" s="99">
        <v>1</v>
      </c>
      <c r="H768" s="98">
        <v>0</v>
      </c>
      <c r="I768" s="97"/>
      <c r="J768" s="97"/>
      <c r="K768" s="98">
        <v>2014</v>
      </c>
      <c r="L768">
        <v>1</v>
      </c>
    </row>
    <row r="770" spans="8:13" x14ac:dyDescent="0.2">
      <c r="H770" s="70"/>
      <c r="M770" s="76">
        <f>SUM(M8:M768)</f>
        <v>133</v>
      </c>
    </row>
    <row r="771" spans="8:13" x14ac:dyDescent="0.2">
      <c r="H771" s="70"/>
    </row>
    <row r="772" spans="8:13" x14ac:dyDescent="0.2">
      <c r="H772" s="70"/>
    </row>
    <row r="773" spans="8:13" x14ac:dyDescent="0.2">
      <c r="H773" s="70"/>
    </row>
    <row r="774" spans="8:13" x14ac:dyDescent="0.2">
      <c r="H774" s="70"/>
    </row>
    <row r="775" spans="8:13" x14ac:dyDescent="0.2">
      <c r="H775" s="70"/>
    </row>
    <row r="776" spans="8:13" x14ac:dyDescent="0.2">
      <c r="H776" s="70"/>
    </row>
    <row r="777" spans="8:13" x14ac:dyDescent="0.2">
      <c r="H777" s="70"/>
    </row>
    <row r="778" spans="8:13" x14ac:dyDescent="0.2">
      <c r="H778" s="70"/>
    </row>
    <row r="779" spans="8:13" x14ac:dyDescent="0.2">
      <c r="H779" s="70"/>
    </row>
    <row r="780" spans="8:13" x14ac:dyDescent="0.2">
      <c r="H780" s="70"/>
    </row>
    <row r="781" spans="8:13" x14ac:dyDescent="0.2">
      <c r="H781" s="70"/>
    </row>
    <row r="782" spans="8:13" x14ac:dyDescent="0.2">
      <c r="H782" s="70"/>
    </row>
    <row r="783" spans="8:13" x14ac:dyDescent="0.2">
      <c r="H783" s="70"/>
    </row>
    <row r="784" spans="8:13" x14ac:dyDescent="0.2">
      <c r="H784" s="70"/>
    </row>
    <row r="785" spans="8:8" x14ac:dyDescent="0.2">
      <c r="H785" s="70"/>
    </row>
    <row r="786" spans="8:8" x14ac:dyDescent="0.2">
      <c r="H786" s="70"/>
    </row>
    <row r="787" spans="8:8" x14ac:dyDescent="0.2">
      <c r="H787" s="70"/>
    </row>
    <row r="788" spans="8:8" x14ac:dyDescent="0.2">
      <c r="H788" s="70"/>
    </row>
    <row r="789" spans="8:8" x14ac:dyDescent="0.2">
      <c r="H789" s="70"/>
    </row>
    <row r="790" spans="8:8" x14ac:dyDescent="0.2">
      <c r="H790" s="70"/>
    </row>
    <row r="791" spans="8:8" x14ac:dyDescent="0.2">
      <c r="H791" s="70"/>
    </row>
    <row r="792" spans="8:8" x14ac:dyDescent="0.2">
      <c r="H792" s="70"/>
    </row>
    <row r="793" spans="8:8" x14ac:dyDescent="0.2">
      <c r="H793" s="70"/>
    </row>
    <row r="794" spans="8:8" x14ac:dyDescent="0.2">
      <c r="H794" s="70"/>
    </row>
    <row r="795" spans="8:8" x14ac:dyDescent="0.2">
      <c r="H795" s="70"/>
    </row>
    <row r="796" spans="8:8" x14ac:dyDescent="0.2">
      <c r="H796" s="70"/>
    </row>
    <row r="797" spans="8:8" x14ac:dyDescent="0.2">
      <c r="H797" s="70"/>
    </row>
    <row r="798" spans="8:8" x14ac:dyDescent="0.2">
      <c r="H798" s="70"/>
    </row>
    <row r="799" spans="8:8" x14ac:dyDescent="0.2">
      <c r="H799" s="70"/>
    </row>
    <row r="800" spans="8:8" x14ac:dyDescent="0.2">
      <c r="H800" s="70"/>
    </row>
    <row r="801" spans="8:8" x14ac:dyDescent="0.2">
      <c r="H801" s="70"/>
    </row>
    <row r="802" spans="8:8" x14ac:dyDescent="0.2">
      <c r="H802" s="70"/>
    </row>
    <row r="803" spans="8:8" x14ac:dyDescent="0.2">
      <c r="H803" s="70"/>
    </row>
    <row r="804" spans="8:8" x14ac:dyDescent="0.2">
      <c r="H804" s="70"/>
    </row>
    <row r="805" spans="8:8" x14ac:dyDescent="0.2">
      <c r="H805" s="70"/>
    </row>
    <row r="806" spans="8:8" x14ac:dyDescent="0.2">
      <c r="H806" s="70"/>
    </row>
    <row r="807" spans="8:8" x14ac:dyDescent="0.2">
      <c r="H807" s="70"/>
    </row>
    <row r="808" spans="8:8" x14ac:dyDescent="0.2">
      <c r="H808" s="70"/>
    </row>
    <row r="809" spans="8:8" x14ac:dyDescent="0.2">
      <c r="H809" s="70"/>
    </row>
    <row r="810" spans="8:8" x14ac:dyDescent="0.2">
      <c r="H810" s="70"/>
    </row>
    <row r="811" spans="8:8" x14ac:dyDescent="0.2">
      <c r="H811" s="70"/>
    </row>
    <row r="812" spans="8:8" x14ac:dyDescent="0.2">
      <c r="H812" s="70"/>
    </row>
    <row r="813" spans="8:8" x14ac:dyDescent="0.2">
      <c r="H813" s="70"/>
    </row>
    <row r="814" spans="8:8" x14ac:dyDescent="0.2">
      <c r="H814" s="70"/>
    </row>
    <row r="815" spans="8:8" x14ac:dyDescent="0.2">
      <c r="H815" s="70"/>
    </row>
    <row r="816" spans="8:8" x14ac:dyDescent="0.2">
      <c r="H816" s="70"/>
    </row>
    <row r="817" spans="8:8" x14ac:dyDescent="0.2">
      <c r="H817" s="70"/>
    </row>
    <row r="818" spans="8:8" x14ac:dyDescent="0.2">
      <c r="H818" s="70"/>
    </row>
    <row r="819" spans="8:8" x14ac:dyDescent="0.2">
      <c r="H819" s="70"/>
    </row>
    <row r="820" spans="8:8" x14ac:dyDescent="0.2">
      <c r="H820" s="70"/>
    </row>
    <row r="821" spans="8:8" x14ac:dyDescent="0.2">
      <c r="H821" s="70"/>
    </row>
    <row r="822" spans="8:8" x14ac:dyDescent="0.2">
      <c r="H822" s="70"/>
    </row>
    <row r="823" spans="8:8" x14ac:dyDescent="0.2">
      <c r="H823" s="70"/>
    </row>
    <row r="824" spans="8:8" x14ac:dyDescent="0.2">
      <c r="H824" s="70"/>
    </row>
    <row r="825" spans="8:8" x14ac:dyDescent="0.2">
      <c r="H825" s="70"/>
    </row>
    <row r="826" spans="8:8" x14ac:dyDescent="0.2">
      <c r="H826" s="70"/>
    </row>
    <row r="827" spans="8:8" x14ac:dyDescent="0.2">
      <c r="H827" s="70"/>
    </row>
    <row r="828" spans="8:8" x14ac:dyDescent="0.2">
      <c r="H828" s="70"/>
    </row>
    <row r="829" spans="8:8" x14ac:dyDescent="0.2">
      <c r="H829" s="70"/>
    </row>
    <row r="830" spans="8:8" x14ac:dyDescent="0.2">
      <c r="H830" s="70"/>
    </row>
    <row r="831" spans="8:8" x14ac:dyDescent="0.2">
      <c r="H831" s="70"/>
    </row>
    <row r="832" spans="8:8" x14ac:dyDescent="0.2">
      <c r="H832" s="70"/>
    </row>
    <row r="833" spans="8:8" x14ac:dyDescent="0.2">
      <c r="H833" s="70"/>
    </row>
    <row r="834" spans="8:8" x14ac:dyDescent="0.2">
      <c r="H834" s="70"/>
    </row>
    <row r="835" spans="8:8" x14ac:dyDescent="0.2">
      <c r="H835" s="70"/>
    </row>
    <row r="836" spans="8:8" x14ac:dyDescent="0.2">
      <c r="H836" s="70"/>
    </row>
    <row r="837" spans="8:8" x14ac:dyDescent="0.2">
      <c r="H837" s="70"/>
    </row>
    <row r="838" spans="8:8" x14ac:dyDescent="0.2">
      <c r="H838" s="70"/>
    </row>
    <row r="839" spans="8:8" x14ac:dyDescent="0.2">
      <c r="H839" s="70"/>
    </row>
    <row r="840" spans="8:8" x14ac:dyDescent="0.2">
      <c r="H840" s="70"/>
    </row>
    <row r="841" spans="8:8" x14ac:dyDescent="0.2">
      <c r="H841" s="70"/>
    </row>
    <row r="842" spans="8:8" x14ac:dyDescent="0.2">
      <c r="H842" s="70"/>
    </row>
    <row r="843" spans="8:8" x14ac:dyDescent="0.2">
      <c r="H843" s="70"/>
    </row>
    <row r="844" spans="8:8" x14ac:dyDescent="0.2">
      <c r="H844" s="70"/>
    </row>
    <row r="845" spans="8:8" x14ac:dyDescent="0.2">
      <c r="H845" s="70"/>
    </row>
    <row r="846" spans="8:8" x14ac:dyDescent="0.2">
      <c r="H846" s="70"/>
    </row>
    <row r="847" spans="8:8" x14ac:dyDescent="0.2">
      <c r="H847" s="70"/>
    </row>
    <row r="848" spans="8:8" x14ac:dyDescent="0.2">
      <c r="H848" s="70"/>
    </row>
    <row r="849" spans="8:8" x14ac:dyDescent="0.2">
      <c r="H849" s="70"/>
    </row>
    <row r="850" spans="8:8" x14ac:dyDescent="0.2">
      <c r="H850" s="70"/>
    </row>
    <row r="851" spans="8:8" x14ac:dyDescent="0.2">
      <c r="H851" s="70"/>
    </row>
    <row r="852" spans="8:8" x14ac:dyDescent="0.2">
      <c r="H852" s="70"/>
    </row>
    <row r="853" spans="8:8" x14ac:dyDescent="0.2">
      <c r="H853" s="70"/>
    </row>
    <row r="854" spans="8:8" x14ac:dyDescent="0.2">
      <c r="H854" s="70"/>
    </row>
    <row r="855" spans="8:8" x14ac:dyDescent="0.2">
      <c r="H855" s="70"/>
    </row>
    <row r="856" spans="8:8" x14ac:dyDescent="0.2">
      <c r="H856" s="70"/>
    </row>
    <row r="857" spans="8:8" x14ac:dyDescent="0.2">
      <c r="H857" s="70"/>
    </row>
    <row r="858" spans="8:8" x14ac:dyDescent="0.2">
      <c r="H858" s="70"/>
    </row>
    <row r="859" spans="8:8" x14ac:dyDescent="0.2">
      <c r="H859" s="70"/>
    </row>
    <row r="860" spans="8:8" x14ac:dyDescent="0.2">
      <c r="H860" s="70"/>
    </row>
    <row r="861" spans="8:8" x14ac:dyDescent="0.2">
      <c r="H861" s="70"/>
    </row>
    <row r="862" spans="8:8" x14ac:dyDescent="0.2">
      <c r="H862" s="70"/>
    </row>
    <row r="863" spans="8:8" x14ac:dyDescent="0.2">
      <c r="H863" s="70"/>
    </row>
    <row r="864" spans="8:8" x14ac:dyDescent="0.2">
      <c r="H864" s="70"/>
    </row>
    <row r="865" spans="8:8" x14ac:dyDescent="0.2">
      <c r="H865" s="70"/>
    </row>
    <row r="866" spans="8:8" x14ac:dyDescent="0.2">
      <c r="H866" s="70"/>
    </row>
    <row r="867" spans="8:8" x14ac:dyDescent="0.2">
      <c r="H867" s="70"/>
    </row>
    <row r="868" spans="8:8" x14ac:dyDescent="0.2">
      <c r="H868" s="70"/>
    </row>
    <row r="869" spans="8:8" x14ac:dyDescent="0.2">
      <c r="H869" s="70"/>
    </row>
    <row r="870" spans="8:8" x14ac:dyDescent="0.2">
      <c r="H870" s="70"/>
    </row>
    <row r="871" spans="8:8" x14ac:dyDescent="0.2">
      <c r="H871" s="70"/>
    </row>
    <row r="872" spans="8:8" x14ac:dyDescent="0.2">
      <c r="H872" s="70"/>
    </row>
    <row r="873" spans="8:8" x14ac:dyDescent="0.2">
      <c r="H873" s="70"/>
    </row>
    <row r="874" spans="8:8" x14ac:dyDescent="0.2">
      <c r="H874" s="70"/>
    </row>
    <row r="875" spans="8:8" x14ac:dyDescent="0.2">
      <c r="H875" s="70"/>
    </row>
    <row r="876" spans="8:8" x14ac:dyDescent="0.2">
      <c r="H876" s="70"/>
    </row>
    <row r="877" spans="8:8" x14ac:dyDescent="0.2">
      <c r="H877" s="70"/>
    </row>
    <row r="878" spans="8:8" x14ac:dyDescent="0.2">
      <c r="H878" s="70"/>
    </row>
    <row r="879" spans="8:8" x14ac:dyDescent="0.2">
      <c r="H879" s="70"/>
    </row>
    <row r="880" spans="8:8" x14ac:dyDescent="0.2">
      <c r="H880" s="70"/>
    </row>
    <row r="881" spans="8:8" x14ac:dyDescent="0.2">
      <c r="H881" s="70"/>
    </row>
    <row r="882" spans="8:8" x14ac:dyDescent="0.2">
      <c r="H882" s="70"/>
    </row>
    <row r="883" spans="8:8" x14ac:dyDescent="0.2">
      <c r="H883" s="70"/>
    </row>
    <row r="884" spans="8:8" x14ac:dyDescent="0.2">
      <c r="H884" s="70"/>
    </row>
    <row r="885" spans="8:8" x14ac:dyDescent="0.2">
      <c r="H885" s="70"/>
    </row>
    <row r="886" spans="8:8" x14ac:dyDescent="0.2">
      <c r="H886" s="70"/>
    </row>
    <row r="887" spans="8:8" x14ac:dyDescent="0.2">
      <c r="H887" s="70"/>
    </row>
    <row r="888" spans="8:8" x14ac:dyDescent="0.2">
      <c r="H888" s="70"/>
    </row>
    <row r="889" spans="8:8" x14ac:dyDescent="0.2">
      <c r="H889" s="70"/>
    </row>
    <row r="890" spans="8:8" x14ac:dyDescent="0.2">
      <c r="H890" s="70"/>
    </row>
    <row r="891" spans="8:8" x14ac:dyDescent="0.2">
      <c r="H891" s="70"/>
    </row>
    <row r="892" spans="8:8" x14ac:dyDescent="0.2">
      <c r="H892" s="70"/>
    </row>
    <row r="893" spans="8:8" x14ac:dyDescent="0.2">
      <c r="H893" s="70"/>
    </row>
    <row r="894" spans="8:8" x14ac:dyDescent="0.2">
      <c r="H894" s="70"/>
    </row>
    <row r="895" spans="8:8" x14ac:dyDescent="0.2">
      <c r="H895" s="70"/>
    </row>
    <row r="896" spans="8:8" x14ac:dyDescent="0.2">
      <c r="H896" s="70"/>
    </row>
    <row r="897" spans="8:8" x14ac:dyDescent="0.2">
      <c r="H897" s="70"/>
    </row>
    <row r="898" spans="8:8" x14ac:dyDescent="0.2">
      <c r="H898" s="70"/>
    </row>
    <row r="899" spans="8:8" x14ac:dyDescent="0.2">
      <c r="H899" s="70"/>
    </row>
    <row r="900" spans="8:8" x14ac:dyDescent="0.2">
      <c r="H900" s="70"/>
    </row>
    <row r="901" spans="8:8" x14ac:dyDescent="0.2">
      <c r="H901" s="70"/>
    </row>
    <row r="902" spans="8:8" x14ac:dyDescent="0.2">
      <c r="H902" s="70"/>
    </row>
    <row r="903" spans="8:8" x14ac:dyDescent="0.2">
      <c r="H903" s="70"/>
    </row>
    <row r="904" spans="8:8" x14ac:dyDescent="0.2">
      <c r="H904" s="70"/>
    </row>
    <row r="905" spans="8:8" x14ac:dyDescent="0.2">
      <c r="H905" s="70"/>
    </row>
    <row r="906" spans="8:8" x14ac:dyDescent="0.2">
      <c r="H906" s="70"/>
    </row>
    <row r="907" spans="8:8" x14ac:dyDescent="0.2">
      <c r="H907" s="70"/>
    </row>
    <row r="908" spans="8:8" x14ac:dyDescent="0.2">
      <c r="H908" s="70"/>
    </row>
    <row r="909" spans="8:8" x14ac:dyDescent="0.2">
      <c r="H909" s="70"/>
    </row>
    <row r="910" spans="8:8" x14ac:dyDescent="0.2">
      <c r="H910" s="70"/>
    </row>
    <row r="911" spans="8:8" x14ac:dyDescent="0.2">
      <c r="H911" s="70"/>
    </row>
    <row r="912" spans="8:8" x14ac:dyDescent="0.2">
      <c r="H912" s="70"/>
    </row>
    <row r="913" spans="8:8" x14ac:dyDescent="0.2">
      <c r="H913" s="70"/>
    </row>
    <row r="914" spans="8:8" x14ac:dyDescent="0.2">
      <c r="H914" s="70"/>
    </row>
    <row r="915" spans="8:8" x14ac:dyDescent="0.2">
      <c r="H915" s="70"/>
    </row>
    <row r="916" spans="8:8" x14ac:dyDescent="0.2">
      <c r="H916" s="70"/>
    </row>
    <row r="917" spans="8:8" x14ac:dyDescent="0.2">
      <c r="H917" s="70"/>
    </row>
    <row r="918" spans="8:8" x14ac:dyDescent="0.2">
      <c r="H918" s="70"/>
    </row>
    <row r="919" spans="8:8" x14ac:dyDescent="0.2">
      <c r="H919" s="70"/>
    </row>
    <row r="920" spans="8:8" x14ac:dyDescent="0.2">
      <c r="H920" s="70"/>
    </row>
    <row r="921" spans="8:8" x14ac:dyDescent="0.2">
      <c r="H921" s="70"/>
    </row>
    <row r="922" spans="8:8" x14ac:dyDescent="0.2">
      <c r="H922" s="70"/>
    </row>
    <row r="923" spans="8:8" x14ac:dyDescent="0.2">
      <c r="H923" s="70"/>
    </row>
    <row r="924" spans="8:8" x14ac:dyDescent="0.2">
      <c r="H924" s="70"/>
    </row>
    <row r="925" spans="8:8" x14ac:dyDescent="0.2">
      <c r="H925" s="70"/>
    </row>
    <row r="926" spans="8:8" x14ac:dyDescent="0.2">
      <c r="H926" s="70"/>
    </row>
    <row r="927" spans="8:8" x14ac:dyDescent="0.2">
      <c r="H927" s="70"/>
    </row>
    <row r="928" spans="8:8" x14ac:dyDescent="0.2">
      <c r="H928" s="70"/>
    </row>
    <row r="929" spans="8:8" x14ac:dyDescent="0.2">
      <c r="H929" s="70"/>
    </row>
    <row r="930" spans="8:8" x14ac:dyDescent="0.2">
      <c r="H930" s="70"/>
    </row>
    <row r="931" spans="8:8" x14ac:dyDescent="0.2">
      <c r="H931" s="70"/>
    </row>
    <row r="932" spans="8:8" x14ac:dyDescent="0.2">
      <c r="H932" s="70"/>
    </row>
    <row r="933" spans="8:8" x14ac:dyDescent="0.2">
      <c r="H933" s="70"/>
    </row>
    <row r="934" spans="8:8" x14ac:dyDescent="0.2">
      <c r="H934" s="70"/>
    </row>
    <row r="935" spans="8:8" x14ac:dyDescent="0.2">
      <c r="H935" s="70"/>
    </row>
    <row r="936" spans="8:8" x14ac:dyDescent="0.2">
      <c r="H936" s="70"/>
    </row>
    <row r="937" spans="8:8" x14ac:dyDescent="0.2">
      <c r="H937" s="70"/>
    </row>
    <row r="938" spans="8:8" x14ac:dyDescent="0.2">
      <c r="H938" s="70"/>
    </row>
    <row r="939" spans="8:8" x14ac:dyDescent="0.2">
      <c r="H939" s="70"/>
    </row>
    <row r="940" spans="8:8" x14ac:dyDescent="0.2">
      <c r="H940" s="70"/>
    </row>
    <row r="941" spans="8:8" x14ac:dyDescent="0.2">
      <c r="H941" s="70"/>
    </row>
    <row r="942" spans="8:8" x14ac:dyDescent="0.2">
      <c r="H942" s="70"/>
    </row>
    <row r="943" spans="8:8" x14ac:dyDescent="0.2">
      <c r="H943" s="70"/>
    </row>
    <row r="944" spans="8:8" x14ac:dyDescent="0.2">
      <c r="H944" s="70"/>
    </row>
    <row r="945" spans="8:8" x14ac:dyDescent="0.2">
      <c r="H945" s="70"/>
    </row>
    <row r="946" spans="8:8" x14ac:dyDescent="0.2">
      <c r="H946" s="70"/>
    </row>
    <row r="947" spans="8:8" x14ac:dyDescent="0.2">
      <c r="H947" s="70"/>
    </row>
    <row r="948" spans="8:8" x14ac:dyDescent="0.2">
      <c r="H948" s="70"/>
    </row>
    <row r="949" spans="8:8" x14ac:dyDescent="0.2">
      <c r="H949" s="70"/>
    </row>
    <row r="950" spans="8:8" x14ac:dyDescent="0.2">
      <c r="H950" s="70"/>
    </row>
    <row r="951" spans="8:8" x14ac:dyDescent="0.2">
      <c r="H951" s="70"/>
    </row>
    <row r="952" spans="8:8" x14ac:dyDescent="0.2">
      <c r="H952" s="70"/>
    </row>
    <row r="953" spans="8:8" x14ac:dyDescent="0.2">
      <c r="H953" s="70"/>
    </row>
    <row r="954" spans="8:8" x14ac:dyDescent="0.2">
      <c r="H954" s="70"/>
    </row>
    <row r="955" spans="8:8" x14ac:dyDescent="0.2">
      <c r="H955" s="70"/>
    </row>
    <row r="956" spans="8:8" x14ac:dyDescent="0.2">
      <c r="H956" s="70"/>
    </row>
    <row r="957" spans="8:8" x14ac:dyDescent="0.2">
      <c r="H957" s="70"/>
    </row>
    <row r="958" spans="8:8" x14ac:dyDescent="0.2">
      <c r="H958" s="70"/>
    </row>
    <row r="959" spans="8:8" x14ac:dyDescent="0.2">
      <c r="H959" s="70"/>
    </row>
    <row r="960" spans="8:8" x14ac:dyDescent="0.2">
      <c r="H960" s="70"/>
    </row>
    <row r="961" spans="8:8" x14ac:dyDescent="0.2">
      <c r="H961" s="70"/>
    </row>
    <row r="962" spans="8:8" x14ac:dyDescent="0.2">
      <c r="H962" s="70"/>
    </row>
    <row r="963" spans="8:8" x14ac:dyDescent="0.2">
      <c r="H963" s="70"/>
    </row>
    <row r="964" spans="8:8" x14ac:dyDescent="0.2">
      <c r="H964" s="70"/>
    </row>
    <row r="965" spans="8:8" x14ac:dyDescent="0.2">
      <c r="H965" s="70"/>
    </row>
    <row r="966" spans="8:8" x14ac:dyDescent="0.2">
      <c r="H966" s="70"/>
    </row>
    <row r="967" spans="8:8" x14ac:dyDescent="0.2">
      <c r="H967" s="70"/>
    </row>
    <row r="968" spans="8:8" x14ac:dyDescent="0.2">
      <c r="H968" s="70"/>
    </row>
    <row r="969" spans="8:8" x14ac:dyDescent="0.2">
      <c r="H969" s="70"/>
    </row>
    <row r="970" spans="8:8" x14ac:dyDescent="0.2">
      <c r="H970" s="70"/>
    </row>
    <row r="971" spans="8:8" x14ac:dyDescent="0.2">
      <c r="H971" s="70"/>
    </row>
    <row r="972" spans="8:8" x14ac:dyDescent="0.2">
      <c r="H972" s="70"/>
    </row>
    <row r="973" spans="8:8" x14ac:dyDescent="0.2">
      <c r="H973" s="70"/>
    </row>
    <row r="974" spans="8:8" x14ac:dyDescent="0.2">
      <c r="H974" s="70"/>
    </row>
    <row r="975" spans="8:8" x14ac:dyDescent="0.2">
      <c r="H975" s="70"/>
    </row>
    <row r="976" spans="8:8" x14ac:dyDescent="0.2">
      <c r="H976" s="70"/>
    </row>
    <row r="977" spans="8:8" x14ac:dyDescent="0.2">
      <c r="H977" s="70"/>
    </row>
    <row r="978" spans="8:8" x14ac:dyDescent="0.2">
      <c r="H978" s="70"/>
    </row>
    <row r="979" spans="8:8" x14ac:dyDescent="0.2">
      <c r="H979" s="70"/>
    </row>
    <row r="980" spans="8:8" x14ac:dyDescent="0.2">
      <c r="H980" s="70"/>
    </row>
    <row r="981" spans="8:8" x14ac:dyDescent="0.2">
      <c r="H981" s="70"/>
    </row>
    <row r="982" spans="8:8" x14ac:dyDescent="0.2">
      <c r="H982" s="70"/>
    </row>
    <row r="983" spans="8:8" x14ac:dyDescent="0.2">
      <c r="H983" s="70"/>
    </row>
    <row r="984" spans="8:8" x14ac:dyDescent="0.2">
      <c r="H984" s="70"/>
    </row>
    <row r="985" spans="8:8" x14ac:dyDescent="0.2">
      <c r="H985" s="70"/>
    </row>
    <row r="986" spans="8:8" x14ac:dyDescent="0.2">
      <c r="H986" s="70"/>
    </row>
    <row r="987" spans="8:8" x14ac:dyDescent="0.2">
      <c r="H987" s="70"/>
    </row>
    <row r="988" spans="8:8" x14ac:dyDescent="0.2">
      <c r="H988" s="70"/>
    </row>
    <row r="989" spans="8:8" x14ac:dyDescent="0.2">
      <c r="H989" s="70"/>
    </row>
    <row r="990" spans="8:8" x14ac:dyDescent="0.2">
      <c r="H990" s="70"/>
    </row>
    <row r="991" spans="8:8" x14ac:dyDescent="0.2">
      <c r="H991" s="70"/>
    </row>
    <row r="992" spans="8:8" x14ac:dyDescent="0.2">
      <c r="H992" s="70"/>
    </row>
    <row r="993" spans="8:8" x14ac:dyDescent="0.2">
      <c r="H993" s="70"/>
    </row>
    <row r="994" spans="8:8" x14ac:dyDescent="0.2">
      <c r="H994" s="70"/>
    </row>
    <row r="995" spans="8:8" x14ac:dyDescent="0.2">
      <c r="H995" s="70"/>
    </row>
    <row r="996" spans="8:8" x14ac:dyDescent="0.2">
      <c r="H996" s="70"/>
    </row>
    <row r="997" spans="8:8" x14ac:dyDescent="0.2">
      <c r="H997" s="70"/>
    </row>
    <row r="998" spans="8:8" x14ac:dyDescent="0.2">
      <c r="H998" s="70"/>
    </row>
    <row r="999" spans="8:8" x14ac:dyDescent="0.2">
      <c r="H999" s="70"/>
    </row>
    <row r="1000" spans="8:8" x14ac:dyDescent="0.2">
      <c r="H1000" s="70"/>
    </row>
    <row r="1001" spans="8:8" x14ac:dyDescent="0.2">
      <c r="H1001" s="70"/>
    </row>
    <row r="1002" spans="8:8" x14ac:dyDescent="0.2">
      <c r="H1002" s="70"/>
    </row>
    <row r="1003" spans="8:8" x14ac:dyDescent="0.2">
      <c r="H1003" s="70"/>
    </row>
    <row r="1004" spans="8:8" x14ac:dyDescent="0.2">
      <c r="H1004" s="70"/>
    </row>
    <row r="1005" spans="8:8" x14ac:dyDescent="0.2">
      <c r="H1005" s="70"/>
    </row>
    <row r="1006" spans="8:8" x14ac:dyDescent="0.2">
      <c r="H1006" s="70"/>
    </row>
    <row r="1007" spans="8:8" x14ac:dyDescent="0.2">
      <c r="H1007" s="70"/>
    </row>
    <row r="1008" spans="8:8" x14ac:dyDescent="0.2">
      <c r="H1008" s="70"/>
    </row>
    <row r="1009" spans="8:8" x14ac:dyDescent="0.2">
      <c r="H1009" s="70"/>
    </row>
    <row r="1010" spans="8:8" x14ac:dyDescent="0.2">
      <c r="H1010" s="70"/>
    </row>
    <row r="1011" spans="8:8" x14ac:dyDescent="0.2">
      <c r="H1011" s="70"/>
    </row>
    <row r="1012" spans="8:8" x14ac:dyDescent="0.2">
      <c r="H1012" s="70"/>
    </row>
    <row r="1013" spans="8:8" x14ac:dyDescent="0.2">
      <c r="H1013" s="70"/>
    </row>
    <row r="1014" spans="8:8" x14ac:dyDescent="0.2">
      <c r="H1014" s="70"/>
    </row>
    <row r="1015" spans="8:8" x14ac:dyDescent="0.2">
      <c r="H1015" s="70"/>
    </row>
    <row r="1016" spans="8:8" x14ac:dyDescent="0.2">
      <c r="H1016" s="70"/>
    </row>
    <row r="1017" spans="8:8" x14ac:dyDescent="0.2">
      <c r="H1017" s="70"/>
    </row>
    <row r="1018" spans="8:8" x14ac:dyDescent="0.2">
      <c r="H1018" s="70"/>
    </row>
    <row r="1019" spans="8:8" x14ac:dyDescent="0.2">
      <c r="H1019" s="70"/>
    </row>
    <row r="1020" spans="8:8" x14ac:dyDescent="0.2">
      <c r="H1020" s="70"/>
    </row>
    <row r="1021" spans="8:8" x14ac:dyDescent="0.2">
      <c r="H1021" s="70"/>
    </row>
    <row r="1022" spans="8:8" x14ac:dyDescent="0.2">
      <c r="H1022" s="70"/>
    </row>
    <row r="1023" spans="8:8" x14ac:dyDescent="0.2">
      <c r="H1023" s="70"/>
    </row>
    <row r="1024" spans="8:8" x14ac:dyDescent="0.2">
      <c r="H1024" s="70"/>
    </row>
    <row r="1025" spans="8:8" x14ac:dyDescent="0.2">
      <c r="H1025" s="70"/>
    </row>
    <row r="1026" spans="8:8" x14ac:dyDescent="0.2">
      <c r="H1026" s="70"/>
    </row>
    <row r="1027" spans="8:8" x14ac:dyDescent="0.2">
      <c r="H1027" s="70"/>
    </row>
    <row r="1028" spans="8:8" x14ac:dyDescent="0.2">
      <c r="H1028" s="70"/>
    </row>
    <row r="1029" spans="8:8" x14ac:dyDescent="0.2">
      <c r="H1029" s="70"/>
    </row>
    <row r="1030" spans="8:8" x14ac:dyDescent="0.2">
      <c r="H1030" s="70"/>
    </row>
    <row r="1031" spans="8:8" x14ac:dyDescent="0.2">
      <c r="H1031" s="70"/>
    </row>
    <row r="1032" spans="8:8" x14ac:dyDescent="0.2">
      <c r="H1032" s="70"/>
    </row>
    <row r="1033" spans="8:8" x14ac:dyDescent="0.2">
      <c r="H1033" s="70"/>
    </row>
    <row r="1034" spans="8:8" x14ac:dyDescent="0.2">
      <c r="H1034" s="70"/>
    </row>
    <row r="1035" spans="8:8" x14ac:dyDescent="0.2">
      <c r="H1035" s="70"/>
    </row>
    <row r="1036" spans="8:8" x14ac:dyDescent="0.2">
      <c r="H1036" s="70"/>
    </row>
    <row r="1037" spans="8:8" x14ac:dyDescent="0.2">
      <c r="H1037" s="70"/>
    </row>
    <row r="1038" spans="8:8" x14ac:dyDescent="0.2">
      <c r="H1038" s="70"/>
    </row>
    <row r="1039" spans="8:8" x14ac:dyDescent="0.2">
      <c r="H1039" s="70"/>
    </row>
    <row r="1040" spans="8:8" x14ac:dyDescent="0.2">
      <c r="H1040" s="70"/>
    </row>
    <row r="1041" spans="8:8" x14ac:dyDescent="0.2">
      <c r="H1041" s="70"/>
    </row>
    <row r="1042" spans="8:8" x14ac:dyDescent="0.2">
      <c r="H1042" s="70"/>
    </row>
    <row r="1043" spans="8:8" x14ac:dyDescent="0.2">
      <c r="H1043" s="70"/>
    </row>
    <row r="1044" spans="8:8" x14ac:dyDescent="0.2">
      <c r="H1044" s="70"/>
    </row>
    <row r="1045" spans="8:8" x14ac:dyDescent="0.2">
      <c r="H1045" s="70"/>
    </row>
    <row r="1046" spans="8:8" x14ac:dyDescent="0.2">
      <c r="H1046" s="70"/>
    </row>
    <row r="1047" spans="8:8" x14ac:dyDescent="0.2">
      <c r="H1047" s="70"/>
    </row>
    <row r="1048" spans="8:8" x14ac:dyDescent="0.2">
      <c r="H1048" s="70"/>
    </row>
    <row r="1049" spans="8:8" x14ac:dyDescent="0.2">
      <c r="H1049" s="70"/>
    </row>
    <row r="1050" spans="8:8" x14ac:dyDescent="0.2">
      <c r="H1050" s="70"/>
    </row>
    <row r="1051" spans="8:8" x14ac:dyDescent="0.2">
      <c r="H1051" s="70"/>
    </row>
    <row r="1052" spans="8:8" x14ac:dyDescent="0.2">
      <c r="H1052" s="70"/>
    </row>
    <row r="1053" spans="8:8" x14ac:dyDescent="0.2">
      <c r="H1053" s="70"/>
    </row>
    <row r="1054" spans="8:8" x14ac:dyDescent="0.2">
      <c r="H1054" s="70"/>
    </row>
    <row r="1055" spans="8:8" x14ac:dyDescent="0.2">
      <c r="H1055" s="70"/>
    </row>
    <row r="1056" spans="8:8" x14ac:dyDescent="0.2">
      <c r="H1056" s="70"/>
    </row>
    <row r="1057" spans="8:8" x14ac:dyDescent="0.2">
      <c r="H1057" s="70"/>
    </row>
    <row r="1058" spans="8:8" x14ac:dyDescent="0.2">
      <c r="H1058" s="70"/>
    </row>
    <row r="1059" spans="8:8" x14ac:dyDescent="0.2">
      <c r="H1059" s="70"/>
    </row>
    <row r="1060" spans="8:8" x14ac:dyDescent="0.2">
      <c r="H1060" s="70"/>
    </row>
    <row r="1061" spans="8:8" x14ac:dyDescent="0.2">
      <c r="H1061" s="70"/>
    </row>
    <row r="1062" spans="8:8" x14ac:dyDescent="0.2">
      <c r="H1062" s="70"/>
    </row>
    <row r="1063" spans="8:8" x14ac:dyDescent="0.2">
      <c r="H1063" s="70"/>
    </row>
    <row r="1064" spans="8:8" x14ac:dyDescent="0.2">
      <c r="H1064" s="70"/>
    </row>
    <row r="1065" spans="8:8" x14ac:dyDescent="0.2">
      <c r="H1065" s="70"/>
    </row>
    <row r="1066" spans="8:8" x14ac:dyDescent="0.2">
      <c r="H1066" s="70"/>
    </row>
    <row r="1067" spans="8:8" x14ac:dyDescent="0.2">
      <c r="H1067" s="70"/>
    </row>
    <row r="1068" spans="8:8" x14ac:dyDescent="0.2">
      <c r="H1068" s="70"/>
    </row>
    <row r="1069" spans="8:8" x14ac:dyDescent="0.2">
      <c r="H1069" s="70"/>
    </row>
    <row r="1070" spans="8:8" x14ac:dyDescent="0.2">
      <c r="H1070" s="70"/>
    </row>
    <row r="1071" spans="8:8" x14ac:dyDescent="0.2">
      <c r="H1071" s="70"/>
    </row>
    <row r="1072" spans="8:8" x14ac:dyDescent="0.2">
      <c r="H1072" s="70"/>
    </row>
    <row r="1073" spans="8:8" x14ac:dyDescent="0.2">
      <c r="H1073" s="70"/>
    </row>
    <row r="1074" spans="8:8" x14ac:dyDescent="0.2">
      <c r="H1074" s="70"/>
    </row>
    <row r="1075" spans="8:8" x14ac:dyDescent="0.2">
      <c r="H1075" s="70"/>
    </row>
    <row r="1076" spans="8:8" x14ac:dyDescent="0.2">
      <c r="H1076" s="70"/>
    </row>
    <row r="1077" spans="8:8" x14ac:dyDescent="0.2">
      <c r="H1077" s="70"/>
    </row>
    <row r="1078" spans="8:8" x14ac:dyDescent="0.2">
      <c r="H1078" s="70"/>
    </row>
    <row r="1079" spans="8:8" x14ac:dyDescent="0.2">
      <c r="H1079" s="70"/>
    </row>
    <row r="1080" spans="8:8" x14ac:dyDescent="0.2">
      <c r="H1080" s="70"/>
    </row>
    <row r="1081" spans="8:8" x14ac:dyDescent="0.2">
      <c r="H1081" s="70"/>
    </row>
    <row r="1082" spans="8:8" x14ac:dyDescent="0.2">
      <c r="H1082" s="70"/>
    </row>
    <row r="1083" spans="8:8" x14ac:dyDescent="0.2">
      <c r="H1083" s="70"/>
    </row>
    <row r="1084" spans="8:8" x14ac:dyDescent="0.2">
      <c r="H1084" s="70"/>
    </row>
    <row r="1085" spans="8:8" x14ac:dyDescent="0.2">
      <c r="H1085" s="70"/>
    </row>
    <row r="1086" spans="8:8" x14ac:dyDescent="0.2">
      <c r="H1086" s="70"/>
    </row>
    <row r="1087" spans="8:8" x14ac:dyDescent="0.2">
      <c r="H1087" s="70"/>
    </row>
    <row r="1088" spans="8:8" x14ac:dyDescent="0.2">
      <c r="H1088" s="70"/>
    </row>
    <row r="1089" spans="8:8" x14ac:dyDescent="0.2">
      <c r="H1089" s="70"/>
    </row>
    <row r="1090" spans="8:8" x14ac:dyDescent="0.2">
      <c r="H1090" s="70"/>
    </row>
    <row r="1091" spans="8:8" x14ac:dyDescent="0.2">
      <c r="H1091" s="70"/>
    </row>
    <row r="1092" spans="8:8" x14ac:dyDescent="0.2">
      <c r="H1092" s="70"/>
    </row>
    <row r="1093" spans="8:8" x14ac:dyDescent="0.2">
      <c r="H1093" s="70"/>
    </row>
    <row r="1094" spans="8:8" x14ac:dyDescent="0.2">
      <c r="H1094" s="70"/>
    </row>
    <row r="1095" spans="8:8" x14ac:dyDescent="0.2">
      <c r="H1095" s="70"/>
    </row>
    <row r="1096" spans="8:8" x14ac:dyDescent="0.2">
      <c r="H1096" s="70"/>
    </row>
    <row r="1097" spans="8:8" x14ac:dyDescent="0.2">
      <c r="H1097" s="70"/>
    </row>
    <row r="1098" spans="8:8" x14ac:dyDescent="0.2">
      <c r="H1098" s="70"/>
    </row>
    <row r="1099" spans="8:8" x14ac:dyDescent="0.2">
      <c r="H1099" s="70"/>
    </row>
    <row r="1100" spans="8:8" x14ac:dyDescent="0.2">
      <c r="H1100" s="70"/>
    </row>
    <row r="1101" spans="8:8" x14ac:dyDescent="0.2">
      <c r="H1101" s="70"/>
    </row>
    <row r="1102" spans="8:8" x14ac:dyDescent="0.2">
      <c r="H1102" s="70"/>
    </row>
    <row r="1103" spans="8:8" x14ac:dyDescent="0.2">
      <c r="H1103" s="70"/>
    </row>
    <row r="1104" spans="8:8" x14ac:dyDescent="0.2">
      <c r="H1104" s="70"/>
    </row>
    <row r="1105" spans="8:8" x14ac:dyDescent="0.2">
      <c r="H1105" s="70"/>
    </row>
    <row r="1106" spans="8:8" x14ac:dyDescent="0.2">
      <c r="H1106" s="70"/>
    </row>
    <row r="1107" spans="8:8" x14ac:dyDescent="0.2">
      <c r="H1107" s="70"/>
    </row>
    <row r="1108" spans="8:8" x14ac:dyDescent="0.2">
      <c r="H1108" s="70"/>
    </row>
    <row r="1109" spans="8:8" x14ac:dyDescent="0.2">
      <c r="H1109" s="70"/>
    </row>
    <row r="1110" spans="8:8" x14ac:dyDescent="0.2">
      <c r="H1110" s="70"/>
    </row>
    <row r="1111" spans="8:8" x14ac:dyDescent="0.2">
      <c r="H1111" s="70"/>
    </row>
    <row r="1112" spans="8:8" x14ac:dyDescent="0.2">
      <c r="H1112" s="70"/>
    </row>
    <row r="1113" spans="8:8" x14ac:dyDescent="0.2">
      <c r="H1113" s="70"/>
    </row>
    <row r="1114" spans="8:8" x14ac:dyDescent="0.2">
      <c r="H1114" s="70"/>
    </row>
    <row r="1115" spans="8:8" x14ac:dyDescent="0.2">
      <c r="H1115" s="70"/>
    </row>
    <row r="1116" spans="8:8" x14ac:dyDescent="0.2">
      <c r="H1116" s="70"/>
    </row>
    <row r="1117" spans="8:8" x14ac:dyDescent="0.2">
      <c r="H1117" s="70"/>
    </row>
    <row r="1118" spans="8:8" x14ac:dyDescent="0.2">
      <c r="H1118" s="70"/>
    </row>
    <row r="1119" spans="8:8" x14ac:dyDescent="0.2">
      <c r="H1119" s="70"/>
    </row>
    <row r="1120" spans="8:8" x14ac:dyDescent="0.2">
      <c r="H1120" s="70"/>
    </row>
    <row r="1121" spans="8:8" x14ac:dyDescent="0.2">
      <c r="H1121" s="70"/>
    </row>
    <row r="1122" spans="8:8" x14ac:dyDescent="0.2">
      <c r="H1122" s="70"/>
    </row>
    <row r="1123" spans="8:8" x14ac:dyDescent="0.2">
      <c r="H1123" s="70"/>
    </row>
    <row r="1124" spans="8:8" x14ac:dyDescent="0.2">
      <c r="H1124" s="70"/>
    </row>
    <row r="1125" spans="8:8" x14ac:dyDescent="0.2">
      <c r="H1125" s="70"/>
    </row>
    <row r="1126" spans="8:8" x14ac:dyDescent="0.2">
      <c r="H1126" s="70"/>
    </row>
    <row r="1127" spans="8:8" x14ac:dyDescent="0.2">
      <c r="H1127" s="70"/>
    </row>
    <row r="1128" spans="8:8" x14ac:dyDescent="0.2">
      <c r="H1128" s="70"/>
    </row>
    <row r="1129" spans="8:8" x14ac:dyDescent="0.2">
      <c r="H1129" s="70"/>
    </row>
    <row r="1130" spans="8:8" x14ac:dyDescent="0.2">
      <c r="H1130" s="70"/>
    </row>
    <row r="1131" spans="8:8" x14ac:dyDescent="0.2">
      <c r="H1131" s="70"/>
    </row>
    <row r="1132" spans="8:8" x14ac:dyDescent="0.2">
      <c r="H1132" s="70"/>
    </row>
    <row r="1133" spans="8:8" x14ac:dyDescent="0.2">
      <c r="H1133" s="70"/>
    </row>
    <row r="1134" spans="8:8" x14ac:dyDescent="0.2">
      <c r="H1134" s="70"/>
    </row>
    <row r="1135" spans="8:8" x14ac:dyDescent="0.2">
      <c r="H1135" s="70"/>
    </row>
    <row r="1136" spans="8:8" x14ac:dyDescent="0.2">
      <c r="H1136" s="70"/>
    </row>
    <row r="1137" spans="8:8" x14ac:dyDescent="0.2">
      <c r="H1137" s="70"/>
    </row>
    <row r="1138" spans="8:8" x14ac:dyDescent="0.2">
      <c r="H1138" s="70"/>
    </row>
    <row r="1139" spans="8:8" x14ac:dyDescent="0.2">
      <c r="H1139" s="70"/>
    </row>
    <row r="1140" spans="8:8" x14ac:dyDescent="0.2">
      <c r="H1140" s="70"/>
    </row>
    <row r="1141" spans="8:8" x14ac:dyDescent="0.2">
      <c r="H1141" s="70"/>
    </row>
    <row r="1142" spans="8:8" x14ac:dyDescent="0.2">
      <c r="H1142" s="70"/>
    </row>
    <row r="1143" spans="8:8" x14ac:dyDescent="0.2">
      <c r="H1143" s="70"/>
    </row>
    <row r="1144" spans="8:8" x14ac:dyDescent="0.2">
      <c r="H1144" s="70"/>
    </row>
    <row r="1145" spans="8:8" x14ac:dyDescent="0.2">
      <c r="H1145" s="70"/>
    </row>
    <row r="1146" spans="8:8" x14ac:dyDescent="0.2">
      <c r="H1146" s="70"/>
    </row>
    <row r="1147" spans="8:8" x14ac:dyDescent="0.2">
      <c r="H1147" s="70"/>
    </row>
    <row r="1148" spans="8:8" x14ac:dyDescent="0.2">
      <c r="H1148" s="70"/>
    </row>
    <row r="1149" spans="8:8" x14ac:dyDescent="0.2">
      <c r="H1149" s="70"/>
    </row>
    <row r="1150" spans="8:8" x14ac:dyDescent="0.2">
      <c r="H1150" s="70"/>
    </row>
    <row r="1151" spans="8:8" x14ac:dyDescent="0.2">
      <c r="H1151" s="70"/>
    </row>
    <row r="1152" spans="8:8" x14ac:dyDescent="0.2">
      <c r="H1152" s="70"/>
    </row>
    <row r="1153" spans="8:8" x14ac:dyDescent="0.2">
      <c r="H1153" s="70"/>
    </row>
    <row r="1154" spans="8:8" x14ac:dyDescent="0.2">
      <c r="H1154" s="70"/>
    </row>
    <row r="1155" spans="8:8" x14ac:dyDescent="0.2">
      <c r="H1155" s="70"/>
    </row>
    <row r="1156" spans="8:8" x14ac:dyDescent="0.2">
      <c r="H1156" s="70"/>
    </row>
    <row r="1157" spans="8:8" x14ac:dyDescent="0.2">
      <c r="H1157" s="70"/>
    </row>
    <row r="1158" spans="8:8" x14ac:dyDescent="0.2">
      <c r="H1158" s="70"/>
    </row>
    <row r="1159" spans="8:8" x14ac:dyDescent="0.2">
      <c r="H1159" s="70"/>
    </row>
    <row r="1160" spans="8:8" x14ac:dyDescent="0.2">
      <c r="H1160" s="70"/>
    </row>
    <row r="1161" spans="8:8" x14ac:dyDescent="0.2">
      <c r="H1161" s="70"/>
    </row>
    <row r="1162" spans="8:8" x14ac:dyDescent="0.2">
      <c r="H1162" s="70"/>
    </row>
    <row r="1163" spans="8:8" x14ac:dyDescent="0.2">
      <c r="H1163" s="70"/>
    </row>
    <row r="1164" spans="8:8" x14ac:dyDescent="0.2">
      <c r="H1164" s="70"/>
    </row>
    <row r="1165" spans="8:8" x14ac:dyDescent="0.2">
      <c r="H1165" s="70"/>
    </row>
    <row r="1166" spans="8:8" x14ac:dyDescent="0.2">
      <c r="H1166" s="70"/>
    </row>
    <row r="1167" spans="8:8" x14ac:dyDescent="0.2">
      <c r="H1167" s="70"/>
    </row>
    <row r="1168" spans="8:8" x14ac:dyDescent="0.2">
      <c r="H1168" s="70"/>
    </row>
    <row r="1169" spans="8:8" x14ac:dyDescent="0.2">
      <c r="H1169" s="70"/>
    </row>
    <row r="1170" spans="8:8" x14ac:dyDescent="0.2">
      <c r="H1170" s="70"/>
    </row>
    <row r="1171" spans="8:8" x14ac:dyDescent="0.2">
      <c r="H1171" s="70"/>
    </row>
    <row r="1172" spans="8:8" x14ac:dyDescent="0.2">
      <c r="H1172" s="70"/>
    </row>
    <row r="1173" spans="8:8" x14ac:dyDescent="0.2">
      <c r="H1173" s="70"/>
    </row>
    <row r="1174" spans="8:8" x14ac:dyDescent="0.2">
      <c r="H1174" s="70"/>
    </row>
    <row r="1175" spans="8:8" x14ac:dyDescent="0.2">
      <c r="H1175" s="70"/>
    </row>
    <row r="1176" spans="8:8" x14ac:dyDescent="0.2">
      <c r="H1176" s="70"/>
    </row>
    <row r="1177" spans="8:8" x14ac:dyDescent="0.2">
      <c r="H1177" s="70"/>
    </row>
    <row r="1178" spans="8:8" x14ac:dyDescent="0.2">
      <c r="H1178" s="70"/>
    </row>
    <row r="1179" spans="8:8" x14ac:dyDescent="0.2">
      <c r="H1179" s="70"/>
    </row>
    <row r="1180" spans="8:8" x14ac:dyDescent="0.2">
      <c r="H1180" s="70"/>
    </row>
    <row r="1181" spans="8:8" x14ac:dyDescent="0.2">
      <c r="H1181" s="70"/>
    </row>
    <row r="1182" spans="8:8" x14ac:dyDescent="0.2">
      <c r="H1182" s="70"/>
    </row>
    <row r="1183" spans="8:8" x14ac:dyDescent="0.2">
      <c r="H1183" s="70"/>
    </row>
    <row r="1184" spans="8:8" x14ac:dyDescent="0.2">
      <c r="H1184" s="70"/>
    </row>
    <row r="1185" spans="8:8" x14ac:dyDescent="0.2">
      <c r="H1185" s="70"/>
    </row>
    <row r="1186" spans="8:8" x14ac:dyDescent="0.2">
      <c r="H1186" s="70"/>
    </row>
    <row r="1187" spans="8:8" x14ac:dyDescent="0.2">
      <c r="H1187" s="70"/>
    </row>
    <row r="1188" spans="8:8" x14ac:dyDescent="0.2">
      <c r="H1188" s="70"/>
    </row>
    <row r="1189" spans="8:8" x14ac:dyDescent="0.2">
      <c r="H1189" s="70"/>
    </row>
    <row r="1190" spans="8:8" x14ac:dyDescent="0.2">
      <c r="H1190" s="70"/>
    </row>
    <row r="1191" spans="8:8" x14ac:dyDescent="0.2">
      <c r="H1191" s="70"/>
    </row>
    <row r="1192" spans="8:8" x14ac:dyDescent="0.2">
      <c r="H1192" s="70"/>
    </row>
    <row r="1193" spans="8:8" x14ac:dyDescent="0.2">
      <c r="H1193" s="70"/>
    </row>
    <row r="1194" spans="8:8" x14ac:dyDescent="0.2">
      <c r="H1194" s="70"/>
    </row>
    <row r="1195" spans="8:8" x14ac:dyDescent="0.2">
      <c r="H1195" s="70"/>
    </row>
    <row r="1196" spans="8:8" x14ac:dyDescent="0.2">
      <c r="H1196" s="70"/>
    </row>
    <row r="1197" spans="8:8" x14ac:dyDescent="0.2">
      <c r="H1197" s="70"/>
    </row>
    <row r="1198" spans="8:8" x14ac:dyDescent="0.2">
      <c r="H1198" s="70"/>
    </row>
    <row r="1199" spans="8:8" x14ac:dyDescent="0.2">
      <c r="H1199" s="70"/>
    </row>
    <row r="1200" spans="8:8" x14ac:dyDescent="0.2">
      <c r="H1200" s="70"/>
    </row>
    <row r="1201" spans="8:8" x14ac:dyDescent="0.2">
      <c r="H1201" s="70"/>
    </row>
    <row r="1202" spans="8:8" x14ac:dyDescent="0.2">
      <c r="H1202" s="70"/>
    </row>
    <row r="1203" spans="8:8" x14ac:dyDescent="0.2">
      <c r="H1203" s="70"/>
    </row>
    <row r="1204" spans="8:8" x14ac:dyDescent="0.2">
      <c r="H1204" s="70"/>
    </row>
    <row r="1205" spans="8:8" x14ac:dyDescent="0.2">
      <c r="H1205" s="70"/>
    </row>
    <row r="1206" spans="8:8" x14ac:dyDescent="0.2">
      <c r="H1206" s="70"/>
    </row>
    <row r="1207" spans="8:8" x14ac:dyDescent="0.2">
      <c r="H1207" s="70"/>
    </row>
    <row r="1208" spans="8:8" x14ac:dyDescent="0.2">
      <c r="H1208" s="70"/>
    </row>
    <row r="1209" spans="8:8" x14ac:dyDescent="0.2">
      <c r="H1209" s="70"/>
    </row>
    <row r="1210" spans="8:8" x14ac:dyDescent="0.2">
      <c r="H1210" s="70"/>
    </row>
    <row r="1211" spans="8:8" x14ac:dyDescent="0.2">
      <c r="H1211" s="70"/>
    </row>
    <row r="1212" spans="8:8" x14ac:dyDescent="0.2">
      <c r="H1212" s="70"/>
    </row>
    <row r="1213" spans="8:8" x14ac:dyDescent="0.2">
      <c r="H1213" s="70"/>
    </row>
    <row r="1214" spans="8:8" x14ac:dyDescent="0.2">
      <c r="H1214" s="70"/>
    </row>
    <row r="1215" spans="8:8" x14ac:dyDescent="0.2">
      <c r="H1215" s="70"/>
    </row>
    <row r="1216" spans="8:8" x14ac:dyDescent="0.2">
      <c r="H1216" s="70"/>
    </row>
    <row r="1217" spans="8:8" x14ac:dyDescent="0.2">
      <c r="H1217" s="70"/>
    </row>
    <row r="1218" spans="8:8" x14ac:dyDescent="0.2">
      <c r="H1218" s="70"/>
    </row>
    <row r="1219" spans="8:8" x14ac:dyDescent="0.2">
      <c r="H1219" s="70"/>
    </row>
    <row r="1220" spans="8:8" x14ac:dyDescent="0.2">
      <c r="H1220" s="70"/>
    </row>
    <row r="1221" spans="8:8" x14ac:dyDescent="0.2">
      <c r="H1221" s="70"/>
    </row>
    <row r="1222" spans="8:8" x14ac:dyDescent="0.2">
      <c r="H1222" s="70"/>
    </row>
    <row r="1223" spans="8:8" x14ac:dyDescent="0.2">
      <c r="H1223" s="70"/>
    </row>
    <row r="1224" spans="8:8" x14ac:dyDescent="0.2">
      <c r="H1224" s="70"/>
    </row>
    <row r="1225" spans="8:8" x14ac:dyDescent="0.2">
      <c r="H1225" s="70"/>
    </row>
    <row r="1226" spans="8:8" x14ac:dyDescent="0.2">
      <c r="H1226" s="70"/>
    </row>
    <row r="1227" spans="8:8" x14ac:dyDescent="0.2">
      <c r="H1227" s="70"/>
    </row>
    <row r="1228" spans="8:8" x14ac:dyDescent="0.2">
      <c r="H1228" s="70"/>
    </row>
    <row r="1229" spans="8:8" x14ac:dyDescent="0.2">
      <c r="H1229" s="70"/>
    </row>
    <row r="1230" spans="8:8" x14ac:dyDescent="0.2">
      <c r="H1230" s="70"/>
    </row>
    <row r="1231" spans="8:8" x14ac:dyDescent="0.2">
      <c r="H1231" s="70"/>
    </row>
    <row r="1232" spans="8:8" x14ac:dyDescent="0.2">
      <c r="H1232" s="70"/>
    </row>
    <row r="1233" spans="8:8" x14ac:dyDescent="0.2">
      <c r="H1233" s="70"/>
    </row>
    <row r="1234" spans="8:8" x14ac:dyDescent="0.2">
      <c r="H1234" s="70"/>
    </row>
    <row r="1235" spans="8:8" x14ac:dyDescent="0.2">
      <c r="H1235" s="70"/>
    </row>
    <row r="1236" spans="8:8" x14ac:dyDescent="0.2">
      <c r="H1236" s="70"/>
    </row>
    <row r="1237" spans="8:8" x14ac:dyDescent="0.2">
      <c r="H1237" s="70"/>
    </row>
    <row r="1238" spans="8:8" x14ac:dyDescent="0.2">
      <c r="H1238" s="70"/>
    </row>
    <row r="1239" spans="8:8" x14ac:dyDescent="0.2">
      <c r="H1239" s="70"/>
    </row>
    <row r="1240" spans="8:8" x14ac:dyDescent="0.2">
      <c r="H1240" s="70"/>
    </row>
    <row r="1241" spans="8:8" x14ac:dyDescent="0.2">
      <c r="H1241" s="70"/>
    </row>
    <row r="1242" spans="8:8" x14ac:dyDescent="0.2">
      <c r="H1242" s="70"/>
    </row>
    <row r="1243" spans="8:8" x14ac:dyDescent="0.2">
      <c r="H1243" s="70"/>
    </row>
    <row r="1244" spans="8:8" x14ac:dyDescent="0.2">
      <c r="H1244" s="70"/>
    </row>
    <row r="1245" spans="8:8" x14ac:dyDescent="0.2">
      <c r="H1245" s="70"/>
    </row>
    <row r="1246" spans="8:8" x14ac:dyDescent="0.2">
      <c r="H1246" s="70"/>
    </row>
    <row r="1247" spans="8:8" x14ac:dyDescent="0.2">
      <c r="H1247" s="70"/>
    </row>
    <row r="1248" spans="8:8" x14ac:dyDescent="0.2">
      <c r="H1248" s="70"/>
    </row>
    <row r="1249" spans="8:8" x14ac:dyDescent="0.2">
      <c r="H1249" s="70"/>
    </row>
    <row r="1250" spans="8:8" x14ac:dyDescent="0.2">
      <c r="H1250" s="70"/>
    </row>
    <row r="1251" spans="8:8" x14ac:dyDescent="0.2">
      <c r="H1251" s="70"/>
    </row>
    <row r="1252" spans="8:8" x14ac:dyDescent="0.2">
      <c r="H1252" s="70"/>
    </row>
    <row r="1253" spans="8:8" x14ac:dyDescent="0.2">
      <c r="H1253" s="70"/>
    </row>
    <row r="1254" spans="8:8" x14ac:dyDescent="0.2">
      <c r="H1254" s="70"/>
    </row>
    <row r="1255" spans="8:8" x14ac:dyDescent="0.2">
      <c r="H1255" s="70"/>
    </row>
    <row r="1256" spans="8:8" x14ac:dyDescent="0.2">
      <c r="H1256" s="70"/>
    </row>
    <row r="1257" spans="8:8" x14ac:dyDescent="0.2">
      <c r="H1257" s="70"/>
    </row>
    <row r="1258" spans="8:8" x14ac:dyDescent="0.2">
      <c r="H1258" s="70"/>
    </row>
    <row r="1259" spans="8:8" x14ac:dyDescent="0.2">
      <c r="H1259" s="70"/>
    </row>
    <row r="1260" spans="8:8" x14ac:dyDescent="0.2">
      <c r="H1260" s="70"/>
    </row>
    <row r="1261" spans="8:8" x14ac:dyDescent="0.2">
      <c r="H1261" s="70"/>
    </row>
    <row r="1262" spans="8:8" x14ac:dyDescent="0.2">
      <c r="H1262" s="70"/>
    </row>
    <row r="1263" spans="8:8" x14ac:dyDescent="0.2">
      <c r="H1263" s="70"/>
    </row>
    <row r="1264" spans="8:8" x14ac:dyDescent="0.2">
      <c r="H1264" s="70"/>
    </row>
    <row r="1265" spans="8:8" x14ac:dyDescent="0.2">
      <c r="H1265" s="70"/>
    </row>
    <row r="1266" spans="8:8" x14ac:dyDescent="0.2">
      <c r="H1266" s="70"/>
    </row>
    <row r="1267" spans="8:8" x14ac:dyDescent="0.2">
      <c r="H1267" s="70"/>
    </row>
    <row r="1268" spans="8:8" x14ac:dyDescent="0.2">
      <c r="H1268" s="70"/>
    </row>
    <row r="1269" spans="8:8" x14ac:dyDescent="0.2">
      <c r="H1269" s="70"/>
    </row>
    <row r="1270" spans="8:8" x14ac:dyDescent="0.2">
      <c r="H1270" s="70"/>
    </row>
    <row r="1271" spans="8:8" x14ac:dyDescent="0.2">
      <c r="H1271" s="70"/>
    </row>
    <row r="1272" spans="8:8" x14ac:dyDescent="0.2">
      <c r="H1272" s="70"/>
    </row>
    <row r="1273" spans="8:8" x14ac:dyDescent="0.2">
      <c r="H1273" s="70"/>
    </row>
    <row r="1274" spans="8:8" x14ac:dyDescent="0.2">
      <c r="H1274" s="70"/>
    </row>
    <row r="1275" spans="8:8" x14ac:dyDescent="0.2">
      <c r="H1275" s="70"/>
    </row>
    <row r="1276" spans="8:8" x14ac:dyDescent="0.2">
      <c r="H1276" s="70"/>
    </row>
    <row r="1277" spans="8:8" x14ac:dyDescent="0.2">
      <c r="H1277" s="70"/>
    </row>
    <row r="1278" spans="8:8" x14ac:dyDescent="0.2">
      <c r="H1278" s="70"/>
    </row>
    <row r="1279" spans="8:8" x14ac:dyDescent="0.2">
      <c r="H1279" s="70"/>
    </row>
    <row r="1280" spans="8:8" x14ac:dyDescent="0.2">
      <c r="H1280" s="70"/>
    </row>
  </sheetData>
  <autoFilter ref="B7:M769">
    <sortState ref="B8:M770">
      <sortCondition ref="B7:B769"/>
    </sortState>
  </autoFilter>
  <sortState ref="A8:Q739">
    <sortCondition ref="B8:B739"/>
    <sortCondition ref="F8:F739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opLeftCell="A2" workbookViewId="0">
      <selection activeCell="K18" sqref="K18"/>
    </sheetView>
  </sheetViews>
  <sheetFormatPr baseColWidth="10" defaultColWidth="8.83203125" defaultRowHeight="16" x14ac:dyDescent="0.2"/>
  <cols>
    <col min="1" max="1" width="18" style="90" customWidth="1"/>
    <col min="2" max="2" width="5.6640625" style="80" customWidth="1"/>
    <col min="3" max="3" width="5.1640625" style="80" customWidth="1"/>
    <col min="4" max="4" width="4.6640625" style="80" customWidth="1"/>
    <col min="5" max="5" width="5.5" style="80" customWidth="1"/>
    <col min="6" max="6" width="5.6640625" style="80" customWidth="1"/>
    <col min="7" max="7" width="8.33203125" style="80" customWidth="1"/>
    <col min="8" max="8" width="6.1640625" style="81" customWidth="1"/>
    <col min="9" max="9" width="6.83203125" style="89" customWidth="1"/>
    <col min="10" max="10" width="7.1640625" style="89" customWidth="1"/>
    <col min="11" max="15" width="4.83203125" style="80" customWidth="1"/>
    <col min="16" max="16" width="10.1640625" style="80" bestFit="1" customWidth="1"/>
    <col min="17" max="17" width="6" style="80" customWidth="1"/>
    <col min="18" max="29" width="4.83203125" style="80" bestFit="1" customWidth="1"/>
    <col min="30" max="36" width="4.83203125" style="80" customWidth="1"/>
    <col min="37" max="45" width="4.83203125" style="80" bestFit="1" customWidth="1"/>
    <col min="46" max="46" width="8.83203125" style="80" bestFit="1" customWidth="1"/>
    <col min="47" max="47" width="6" style="80" bestFit="1" customWidth="1"/>
    <col min="48" max="62" width="4.83203125" style="80" bestFit="1" customWidth="1"/>
    <col min="63" max="63" width="8.83203125" style="80" bestFit="1" customWidth="1"/>
    <col min="64" max="64" width="6.83203125" style="80" bestFit="1" customWidth="1"/>
    <col min="65" max="83" width="4.83203125" style="80" customWidth="1"/>
    <col min="84" max="92" width="4.83203125" style="80" bestFit="1" customWidth="1"/>
    <col min="93" max="93" width="9.6640625" style="80" bestFit="1" customWidth="1"/>
    <col min="94" max="94" width="6.6640625" style="80" customWidth="1"/>
    <col min="95" max="98" width="4.83203125" style="80" customWidth="1"/>
    <col min="99" max="99" width="4.83203125" style="80" bestFit="1" customWidth="1"/>
    <col min="100" max="109" width="4.83203125" style="80" customWidth="1"/>
    <col min="110" max="110" width="9.6640625" style="80" bestFit="1" customWidth="1"/>
    <col min="111" max="111" width="9.33203125" style="80" bestFit="1" customWidth="1"/>
    <col min="112" max="115" width="4.83203125" style="80" customWidth="1"/>
    <col min="116" max="116" width="4.83203125" style="80" bestFit="1" customWidth="1"/>
    <col min="117" max="117" width="12.1640625" style="80" bestFit="1" customWidth="1"/>
    <col min="118" max="118" width="10.33203125" style="80" bestFit="1" customWidth="1"/>
    <col min="119" max="144" width="4.83203125" style="80" bestFit="1" customWidth="1"/>
    <col min="145" max="145" width="11.1640625" style="80" bestFit="1" customWidth="1"/>
    <col min="146" max="146" width="9.6640625" style="80" bestFit="1" customWidth="1"/>
    <col min="147" max="147" width="6.6640625" style="80" bestFit="1" customWidth="1"/>
    <col min="148" max="148" width="9.5" style="80" bestFit="1" customWidth="1"/>
    <col min="149" max="149" width="6.6640625" style="80" bestFit="1" customWidth="1"/>
    <col min="150" max="150" width="9.5" style="80" bestFit="1" customWidth="1"/>
    <col min="151" max="151" width="6.6640625" style="80" bestFit="1" customWidth="1"/>
    <col min="152" max="152" width="9.5" style="80" bestFit="1" customWidth="1"/>
    <col min="153" max="153" width="6.6640625" style="80" bestFit="1" customWidth="1"/>
    <col min="154" max="154" width="9.5" style="80" bestFit="1" customWidth="1"/>
    <col min="155" max="155" width="6.6640625" style="80" bestFit="1" customWidth="1"/>
    <col min="156" max="156" width="9.5" style="80" bestFit="1" customWidth="1"/>
    <col min="157" max="157" width="6.6640625" style="80" bestFit="1" customWidth="1"/>
    <col min="158" max="158" width="9.5" style="80" bestFit="1" customWidth="1"/>
    <col min="159" max="159" width="6.6640625" style="80" bestFit="1" customWidth="1"/>
    <col min="160" max="160" width="4.83203125" style="80" bestFit="1" customWidth="1"/>
    <col min="161" max="161" width="9.5" style="80" bestFit="1" customWidth="1"/>
    <col min="162" max="162" width="6.6640625" style="80" bestFit="1" customWidth="1"/>
    <col min="163" max="163" width="4.83203125" style="80" bestFit="1" customWidth="1"/>
    <col min="164" max="164" width="9.5" style="80" bestFit="1" customWidth="1"/>
    <col min="165" max="165" width="6.6640625" style="80" bestFit="1" customWidth="1"/>
    <col min="166" max="166" width="9.5" style="80" bestFit="1" customWidth="1"/>
    <col min="167" max="167" width="6.6640625" style="80" bestFit="1" customWidth="1"/>
    <col min="168" max="168" width="9.5" style="80" bestFit="1" customWidth="1"/>
    <col min="169" max="169" width="6.6640625" style="80" bestFit="1" customWidth="1"/>
    <col min="170" max="170" width="4.83203125" style="80" bestFit="1" customWidth="1"/>
    <col min="171" max="171" width="9.5" style="80" bestFit="1" customWidth="1"/>
    <col min="172" max="172" width="6.6640625" style="80" bestFit="1" customWidth="1"/>
    <col min="173" max="173" width="4.83203125" style="80" bestFit="1" customWidth="1"/>
    <col min="174" max="174" width="9.5" style="80" bestFit="1" customWidth="1"/>
    <col min="175" max="175" width="6.6640625" style="80" bestFit="1" customWidth="1"/>
    <col min="176" max="176" width="4.83203125" style="80" bestFit="1" customWidth="1"/>
    <col min="177" max="177" width="9.5" style="80" bestFit="1" customWidth="1"/>
    <col min="178" max="178" width="6.6640625" style="80" bestFit="1" customWidth="1"/>
    <col min="179" max="179" width="4.83203125" style="80" bestFit="1" customWidth="1"/>
    <col min="180" max="180" width="9.5" style="80" bestFit="1" customWidth="1"/>
    <col min="181" max="181" width="6.6640625" style="80" bestFit="1" customWidth="1"/>
    <col min="182" max="182" width="9.5" style="80" bestFit="1" customWidth="1"/>
    <col min="183" max="183" width="6.6640625" style="80" bestFit="1" customWidth="1"/>
    <col min="184" max="184" width="9.5" style="80" bestFit="1" customWidth="1"/>
    <col min="185" max="185" width="8.1640625" style="80" bestFit="1" customWidth="1"/>
    <col min="186" max="190" width="4.83203125" style="80" bestFit="1" customWidth="1"/>
    <col min="191" max="191" width="11.1640625" style="80" bestFit="1" customWidth="1"/>
    <col min="192" max="192" width="9.6640625" style="80" bestFit="1" customWidth="1"/>
    <col min="193" max="193" width="9.33203125" style="80" bestFit="1" customWidth="1"/>
    <col min="194" max="194" width="9.5" style="80" bestFit="1" customWidth="1"/>
    <col min="195" max="195" width="6.6640625" style="80" bestFit="1" customWidth="1"/>
    <col min="196" max="196" width="9.5" style="80" bestFit="1" customWidth="1"/>
    <col min="197" max="197" width="6.6640625" style="80" bestFit="1" customWidth="1"/>
    <col min="198" max="198" width="9.5" style="80" bestFit="1" customWidth="1"/>
    <col min="199" max="199" width="8.1640625" style="80" bestFit="1" customWidth="1"/>
    <col min="200" max="202" width="4.83203125" style="80" bestFit="1" customWidth="1"/>
    <col min="203" max="203" width="11.1640625" style="80" bestFit="1" customWidth="1"/>
    <col min="204" max="204" width="12.1640625" style="80" bestFit="1" customWidth="1"/>
    <col min="205" max="205" width="10.33203125" style="80" bestFit="1" customWidth="1"/>
    <col min="206" max="16384" width="8.83203125" style="80"/>
  </cols>
  <sheetData>
    <row r="1" spans="1:10" ht="16.5" hidden="1" customHeight="1" x14ac:dyDescent="0.2">
      <c r="A1" s="78" t="s">
        <v>477</v>
      </c>
      <c r="B1" s="79" t="s">
        <v>473</v>
      </c>
      <c r="I1" s="82"/>
      <c r="J1" s="82"/>
    </row>
    <row r="2" spans="1:10" ht="29.25" customHeight="1" x14ac:dyDescent="0.2">
      <c r="A2" s="78" t="s">
        <v>0</v>
      </c>
      <c r="B2" s="80" t="s">
        <v>304</v>
      </c>
      <c r="C2" s="80" t="s">
        <v>281</v>
      </c>
      <c r="D2" s="80" t="s">
        <v>450</v>
      </c>
      <c r="E2" s="80" t="s">
        <v>244</v>
      </c>
      <c r="F2" s="80" t="s">
        <v>151</v>
      </c>
      <c r="G2" s="80" t="s">
        <v>380</v>
      </c>
      <c r="H2" s="83" t="s">
        <v>472</v>
      </c>
      <c r="I2" s="84" t="s">
        <v>478</v>
      </c>
      <c r="J2" s="84" t="s">
        <v>479</v>
      </c>
    </row>
    <row r="3" spans="1:10" x14ac:dyDescent="0.2">
      <c r="A3" s="85" t="s">
        <v>171</v>
      </c>
      <c r="B3" s="86"/>
      <c r="C3" s="86">
        <v>1</v>
      </c>
      <c r="D3" s="86"/>
      <c r="E3" s="86"/>
      <c r="F3" s="86">
        <v>3</v>
      </c>
      <c r="G3" s="86"/>
      <c r="H3" s="87">
        <v>4</v>
      </c>
      <c r="I3" s="88">
        <v>2003</v>
      </c>
      <c r="J3" s="88">
        <v>2011</v>
      </c>
    </row>
    <row r="4" spans="1:10" x14ac:dyDescent="0.2">
      <c r="A4" s="85" t="s">
        <v>20</v>
      </c>
      <c r="B4" s="86"/>
      <c r="C4" s="86">
        <v>1</v>
      </c>
      <c r="D4" s="86"/>
      <c r="E4" s="86">
        <v>7</v>
      </c>
      <c r="F4" s="86">
        <v>2</v>
      </c>
      <c r="G4" s="86"/>
      <c r="H4" s="87">
        <v>10</v>
      </c>
      <c r="I4" s="88">
        <v>1996</v>
      </c>
      <c r="J4" s="88">
        <v>2012</v>
      </c>
    </row>
    <row r="5" spans="1:10" x14ac:dyDescent="0.2">
      <c r="A5" s="85" t="s">
        <v>75</v>
      </c>
      <c r="B5" s="86"/>
      <c r="C5" s="86"/>
      <c r="D5" s="86"/>
      <c r="E5" s="86"/>
      <c r="F5" s="86">
        <v>4</v>
      </c>
      <c r="G5" s="86">
        <v>1</v>
      </c>
      <c r="H5" s="87">
        <v>5</v>
      </c>
      <c r="I5" s="88">
        <v>1995</v>
      </c>
      <c r="J5" s="88">
        <v>2012</v>
      </c>
    </row>
    <row r="6" spans="1:10" x14ac:dyDescent="0.2">
      <c r="A6" s="85" t="s">
        <v>94</v>
      </c>
      <c r="B6" s="86">
        <v>1</v>
      </c>
      <c r="C6" s="86">
        <v>2</v>
      </c>
      <c r="D6" s="86"/>
      <c r="E6" s="86"/>
      <c r="F6" s="86">
        <v>2</v>
      </c>
      <c r="G6" s="86"/>
      <c r="H6" s="87">
        <v>5</v>
      </c>
      <c r="I6" s="88">
        <v>1996</v>
      </c>
      <c r="J6" s="88">
        <v>2011</v>
      </c>
    </row>
    <row r="7" spans="1:10" x14ac:dyDescent="0.2">
      <c r="A7" s="85" t="s">
        <v>381</v>
      </c>
      <c r="B7" s="86"/>
      <c r="C7" s="86"/>
      <c r="D7" s="86"/>
      <c r="E7" s="86">
        <v>1</v>
      </c>
      <c r="F7" s="86"/>
      <c r="G7" s="86"/>
      <c r="H7" s="87">
        <v>1</v>
      </c>
      <c r="I7" s="88"/>
      <c r="J7" s="88">
        <v>2006</v>
      </c>
    </row>
    <row r="8" spans="1:10" x14ac:dyDescent="0.2">
      <c r="A8" s="85" t="s">
        <v>48</v>
      </c>
      <c r="B8" s="86"/>
      <c r="C8" s="86"/>
      <c r="D8" s="86"/>
      <c r="E8" s="86"/>
      <c r="F8" s="86">
        <v>1</v>
      </c>
      <c r="G8" s="86"/>
      <c r="H8" s="87">
        <v>1</v>
      </c>
      <c r="I8" s="88"/>
      <c r="J8" s="88">
        <v>2012</v>
      </c>
    </row>
    <row r="9" spans="1:10" x14ac:dyDescent="0.2">
      <c r="A9" s="85" t="s">
        <v>21</v>
      </c>
      <c r="B9" s="86"/>
      <c r="C9" s="86">
        <v>3</v>
      </c>
      <c r="D9" s="86">
        <v>10</v>
      </c>
      <c r="E9" s="86">
        <v>1</v>
      </c>
      <c r="F9" s="86"/>
      <c r="G9" s="86"/>
      <c r="H9" s="87">
        <v>14</v>
      </c>
      <c r="I9" s="88">
        <v>1996</v>
      </c>
      <c r="J9" s="88">
        <v>2012</v>
      </c>
    </row>
    <row r="10" spans="1:10" x14ac:dyDescent="0.2">
      <c r="A10" s="85" t="s">
        <v>22</v>
      </c>
      <c r="B10" s="86"/>
      <c r="C10" s="86">
        <v>1</v>
      </c>
      <c r="D10" s="86"/>
      <c r="E10" s="86">
        <v>1</v>
      </c>
      <c r="F10" s="86">
        <v>1</v>
      </c>
      <c r="G10" s="86"/>
      <c r="H10" s="87">
        <v>3</v>
      </c>
      <c r="I10" s="88">
        <v>1995</v>
      </c>
      <c r="J10" s="88">
        <v>2006</v>
      </c>
    </row>
    <row r="11" spans="1:10" x14ac:dyDescent="0.2">
      <c r="A11" s="85" t="s">
        <v>86</v>
      </c>
      <c r="B11" s="86"/>
      <c r="C11" s="86">
        <v>8</v>
      </c>
      <c r="D11" s="86"/>
      <c r="E11" s="86"/>
      <c r="F11" s="86">
        <v>3</v>
      </c>
      <c r="G11" s="86"/>
      <c r="H11" s="87">
        <v>11</v>
      </c>
      <c r="I11" s="88">
        <v>1996</v>
      </c>
      <c r="J11" s="88">
        <v>2013</v>
      </c>
    </row>
    <row r="12" spans="1:10" x14ac:dyDescent="0.2">
      <c r="A12" s="85" t="s">
        <v>339</v>
      </c>
      <c r="B12" s="86"/>
      <c r="C12" s="86"/>
      <c r="D12" s="86"/>
      <c r="E12" s="86"/>
      <c r="F12" s="86">
        <v>1</v>
      </c>
      <c r="G12" s="86"/>
      <c r="H12" s="87">
        <v>1</v>
      </c>
      <c r="I12" s="88"/>
      <c r="J12" s="88">
        <v>2012</v>
      </c>
    </row>
    <row r="13" spans="1:10" x14ac:dyDescent="0.2">
      <c r="A13" s="85" t="s">
        <v>23</v>
      </c>
      <c r="B13" s="86"/>
      <c r="C13" s="86"/>
      <c r="D13" s="86"/>
      <c r="E13" s="86"/>
      <c r="F13" s="86">
        <v>2</v>
      </c>
      <c r="G13" s="86"/>
      <c r="H13" s="87">
        <v>2</v>
      </c>
      <c r="I13" s="88">
        <v>2005</v>
      </c>
      <c r="J13" s="88">
        <v>2012</v>
      </c>
    </row>
    <row r="14" spans="1:10" x14ac:dyDescent="0.2">
      <c r="A14" s="85" t="s">
        <v>50</v>
      </c>
      <c r="B14" s="86"/>
      <c r="C14" s="86"/>
      <c r="D14" s="86"/>
      <c r="E14" s="86">
        <v>1</v>
      </c>
      <c r="F14" s="86">
        <v>2</v>
      </c>
      <c r="G14" s="86"/>
      <c r="H14" s="87">
        <v>3</v>
      </c>
      <c r="I14" s="88">
        <v>2001</v>
      </c>
      <c r="J14" s="88">
        <v>2011</v>
      </c>
    </row>
    <row r="15" spans="1:10" x14ac:dyDescent="0.2">
      <c r="A15" s="85" t="s">
        <v>96</v>
      </c>
      <c r="B15" s="86">
        <v>1</v>
      </c>
      <c r="C15" s="86">
        <v>4</v>
      </c>
      <c r="D15" s="86"/>
      <c r="E15" s="86"/>
      <c r="F15" s="86"/>
      <c r="G15" s="86"/>
      <c r="H15" s="87">
        <v>5</v>
      </c>
      <c r="I15" s="88">
        <v>1996</v>
      </c>
      <c r="J15" s="88">
        <v>2012</v>
      </c>
    </row>
    <row r="16" spans="1:10" x14ac:dyDescent="0.2">
      <c r="A16" s="85" t="s">
        <v>88</v>
      </c>
      <c r="B16" s="86"/>
      <c r="C16" s="86"/>
      <c r="D16" s="86"/>
      <c r="E16" s="86">
        <v>3</v>
      </c>
      <c r="F16" s="86">
        <v>1</v>
      </c>
      <c r="G16" s="86"/>
      <c r="H16" s="87">
        <v>4</v>
      </c>
      <c r="I16" s="88">
        <v>2003</v>
      </c>
      <c r="J16" s="88">
        <v>2012</v>
      </c>
    </row>
    <row r="17" spans="1:10" x14ac:dyDescent="0.2">
      <c r="A17" s="85" t="s">
        <v>51</v>
      </c>
      <c r="B17" s="86"/>
      <c r="C17" s="86">
        <v>5</v>
      </c>
      <c r="D17" s="86"/>
      <c r="E17" s="86"/>
      <c r="F17" s="86">
        <v>1</v>
      </c>
      <c r="G17" s="86"/>
      <c r="H17" s="87">
        <v>6</v>
      </c>
      <c r="I17" s="88">
        <v>1998</v>
      </c>
      <c r="J17" s="88">
        <v>2008</v>
      </c>
    </row>
    <row r="18" spans="1:10" ht="32" x14ac:dyDescent="0.2">
      <c r="A18" s="85" t="s">
        <v>24</v>
      </c>
      <c r="B18" s="86"/>
      <c r="C18" s="86"/>
      <c r="D18" s="86"/>
      <c r="E18" s="86">
        <v>4</v>
      </c>
      <c r="F18" s="86">
        <v>4</v>
      </c>
      <c r="G18" s="86"/>
      <c r="H18" s="87">
        <v>8</v>
      </c>
      <c r="I18" s="88">
        <v>2001</v>
      </c>
      <c r="J18" s="88">
        <v>2012</v>
      </c>
    </row>
    <row r="19" spans="1:10" x14ac:dyDescent="0.2">
      <c r="A19" s="85" t="s">
        <v>97</v>
      </c>
      <c r="B19" s="86">
        <v>1</v>
      </c>
      <c r="C19" s="86">
        <v>1</v>
      </c>
      <c r="D19" s="86"/>
      <c r="E19" s="86"/>
      <c r="F19" s="86">
        <v>1</v>
      </c>
      <c r="G19" s="86"/>
      <c r="H19" s="87">
        <v>3</v>
      </c>
      <c r="I19" s="88">
        <v>1988</v>
      </c>
      <c r="J19" s="88">
        <v>2010</v>
      </c>
    </row>
    <row r="20" spans="1:10" x14ac:dyDescent="0.2">
      <c r="A20" s="85" t="s">
        <v>52</v>
      </c>
      <c r="B20" s="86"/>
      <c r="C20" s="86">
        <v>3</v>
      </c>
      <c r="D20" s="86"/>
      <c r="E20" s="86">
        <v>1</v>
      </c>
      <c r="F20" s="86"/>
      <c r="G20" s="86"/>
      <c r="H20" s="87">
        <v>4</v>
      </c>
      <c r="I20" s="88">
        <v>1986</v>
      </c>
      <c r="J20" s="88">
        <v>1997</v>
      </c>
    </row>
    <row r="21" spans="1:10" x14ac:dyDescent="0.2">
      <c r="A21" s="85" t="s">
        <v>25</v>
      </c>
      <c r="B21" s="86"/>
      <c r="C21" s="86"/>
      <c r="D21" s="86"/>
      <c r="E21" s="86">
        <v>5</v>
      </c>
      <c r="F21" s="86"/>
      <c r="G21" s="86"/>
      <c r="H21" s="87">
        <v>5</v>
      </c>
      <c r="I21" s="88">
        <v>1995</v>
      </c>
      <c r="J21" s="88">
        <v>2007</v>
      </c>
    </row>
    <row r="22" spans="1:10" x14ac:dyDescent="0.2">
      <c r="A22" s="85" t="s">
        <v>98</v>
      </c>
      <c r="B22" s="86">
        <v>4</v>
      </c>
      <c r="C22" s="86">
        <v>4</v>
      </c>
      <c r="D22" s="86"/>
      <c r="E22" s="86"/>
      <c r="F22" s="86">
        <v>1</v>
      </c>
      <c r="G22" s="86"/>
      <c r="H22" s="87">
        <v>9</v>
      </c>
      <c r="I22" s="88">
        <v>1993</v>
      </c>
      <c r="J22" s="88">
        <v>2010</v>
      </c>
    </row>
    <row r="23" spans="1:10" x14ac:dyDescent="0.2">
      <c r="A23" s="85" t="s">
        <v>99</v>
      </c>
      <c r="B23" s="86">
        <v>1</v>
      </c>
      <c r="C23" s="86">
        <v>3</v>
      </c>
      <c r="D23" s="86"/>
      <c r="E23" s="86"/>
      <c r="F23" s="86">
        <v>2</v>
      </c>
      <c r="G23" s="86"/>
      <c r="H23" s="87">
        <v>6</v>
      </c>
      <c r="I23" s="88">
        <v>1987</v>
      </c>
      <c r="J23" s="88">
        <v>2012</v>
      </c>
    </row>
    <row r="24" spans="1:10" x14ac:dyDescent="0.2">
      <c r="A24" s="85" t="s">
        <v>5</v>
      </c>
      <c r="B24" s="86"/>
      <c r="C24" s="86">
        <v>4</v>
      </c>
      <c r="D24" s="86"/>
      <c r="E24" s="86"/>
      <c r="F24" s="86"/>
      <c r="G24" s="86"/>
      <c r="H24" s="87">
        <v>4</v>
      </c>
      <c r="I24" s="88">
        <v>1998</v>
      </c>
      <c r="J24" s="88">
        <v>2010</v>
      </c>
    </row>
    <row r="25" spans="1:10" x14ac:dyDescent="0.2">
      <c r="A25" s="85" t="s">
        <v>100</v>
      </c>
      <c r="B25" s="86"/>
      <c r="C25" s="86">
        <v>4</v>
      </c>
      <c r="D25" s="86"/>
      <c r="E25" s="86"/>
      <c r="F25" s="86">
        <v>2</v>
      </c>
      <c r="G25" s="86"/>
      <c r="H25" s="87">
        <v>6</v>
      </c>
      <c r="I25" s="88">
        <v>1991</v>
      </c>
      <c r="J25" s="88">
        <v>2011</v>
      </c>
    </row>
    <row r="26" spans="1:10" x14ac:dyDescent="0.2">
      <c r="A26" s="85" t="s">
        <v>101</v>
      </c>
      <c r="B26" s="86">
        <v>2</v>
      </c>
      <c r="C26" s="86">
        <v>1</v>
      </c>
      <c r="D26" s="86"/>
      <c r="E26" s="86"/>
      <c r="F26" s="86"/>
      <c r="G26" s="86"/>
      <c r="H26" s="87">
        <v>3</v>
      </c>
      <c r="I26" s="88">
        <v>2005</v>
      </c>
      <c r="J26" s="88">
        <v>2007</v>
      </c>
    </row>
    <row r="27" spans="1:10" ht="32" x14ac:dyDescent="0.2">
      <c r="A27" s="85" t="s">
        <v>102</v>
      </c>
      <c r="B27" s="86"/>
      <c r="C27" s="86">
        <v>1</v>
      </c>
      <c r="D27" s="86"/>
      <c r="E27" s="86"/>
      <c r="F27" s="86">
        <v>3</v>
      </c>
      <c r="G27" s="86"/>
      <c r="H27" s="87">
        <v>4</v>
      </c>
      <c r="I27" s="88">
        <v>1994</v>
      </c>
      <c r="J27" s="88">
        <v>2010</v>
      </c>
    </row>
    <row r="28" spans="1:10" x14ac:dyDescent="0.2">
      <c r="A28" s="85" t="s">
        <v>103</v>
      </c>
      <c r="B28" s="86"/>
      <c r="C28" s="86">
        <v>2</v>
      </c>
      <c r="D28" s="86"/>
      <c r="E28" s="86"/>
      <c r="F28" s="86">
        <v>2</v>
      </c>
      <c r="G28" s="86"/>
      <c r="H28" s="87">
        <v>4</v>
      </c>
      <c r="I28" s="88">
        <v>1997</v>
      </c>
      <c r="J28" s="88">
        <v>2010</v>
      </c>
    </row>
    <row r="29" spans="1:10" x14ac:dyDescent="0.2">
      <c r="A29" s="85" t="s">
        <v>7</v>
      </c>
      <c r="B29" s="86"/>
      <c r="C29" s="86"/>
      <c r="D29" s="86"/>
      <c r="E29" s="86">
        <v>1</v>
      </c>
      <c r="F29" s="86"/>
      <c r="G29" s="86"/>
      <c r="H29" s="87">
        <v>1</v>
      </c>
      <c r="I29" s="88"/>
      <c r="J29" s="88">
        <v>1995</v>
      </c>
    </row>
    <row r="30" spans="1:10" x14ac:dyDescent="0.2">
      <c r="A30" s="85" t="s">
        <v>54</v>
      </c>
      <c r="B30" s="86"/>
      <c r="C30" s="86">
        <v>6</v>
      </c>
      <c r="D30" s="86"/>
      <c r="E30" s="86"/>
      <c r="F30" s="86"/>
      <c r="G30" s="86"/>
      <c r="H30" s="87">
        <v>6</v>
      </c>
      <c r="I30" s="88">
        <v>1986</v>
      </c>
      <c r="J30" s="88">
        <v>2010</v>
      </c>
    </row>
    <row r="31" spans="1:10" x14ac:dyDescent="0.2">
      <c r="A31" s="85" t="s">
        <v>104</v>
      </c>
      <c r="B31" s="86"/>
      <c r="C31" s="86">
        <v>2</v>
      </c>
      <c r="D31" s="86"/>
      <c r="E31" s="86"/>
      <c r="F31" s="86">
        <v>1</v>
      </c>
      <c r="G31" s="86"/>
      <c r="H31" s="87">
        <v>3</v>
      </c>
      <c r="I31" s="88">
        <v>1996</v>
      </c>
      <c r="J31" s="88">
        <v>2012</v>
      </c>
    </row>
    <row r="32" spans="1:10" x14ac:dyDescent="0.2">
      <c r="A32" s="85" t="s">
        <v>285</v>
      </c>
      <c r="B32" s="86"/>
      <c r="C32" s="86">
        <v>4</v>
      </c>
      <c r="D32" s="86"/>
      <c r="E32" s="86"/>
      <c r="F32" s="86"/>
      <c r="G32" s="86"/>
      <c r="H32" s="87">
        <v>4</v>
      </c>
      <c r="I32" s="88">
        <v>2005</v>
      </c>
      <c r="J32" s="88">
        <v>2013</v>
      </c>
    </row>
    <row r="33" spans="1:10" ht="32" x14ac:dyDescent="0.2">
      <c r="A33" s="85" t="s">
        <v>176</v>
      </c>
      <c r="B33" s="86">
        <v>1</v>
      </c>
      <c r="C33" s="86">
        <v>1</v>
      </c>
      <c r="D33" s="86"/>
      <c r="E33" s="86"/>
      <c r="F33" s="86">
        <v>3</v>
      </c>
      <c r="G33" s="86"/>
      <c r="H33" s="87">
        <v>5</v>
      </c>
      <c r="I33" s="88">
        <v>1995</v>
      </c>
      <c r="J33" s="88">
        <v>2010</v>
      </c>
    </row>
    <row r="34" spans="1:10" x14ac:dyDescent="0.2">
      <c r="A34" s="85" t="s">
        <v>55</v>
      </c>
      <c r="B34" s="86"/>
      <c r="C34" s="86"/>
      <c r="D34" s="86"/>
      <c r="E34" s="86"/>
      <c r="F34" s="86">
        <v>1</v>
      </c>
      <c r="G34" s="86"/>
      <c r="H34" s="87">
        <v>1</v>
      </c>
      <c r="I34" s="88"/>
      <c r="J34" s="88">
        <v>2011</v>
      </c>
    </row>
    <row r="35" spans="1:10" x14ac:dyDescent="0.2">
      <c r="A35" s="85" t="s">
        <v>246</v>
      </c>
      <c r="B35" s="86"/>
      <c r="C35" s="86">
        <v>4</v>
      </c>
      <c r="D35" s="86"/>
      <c r="E35" s="86">
        <v>4</v>
      </c>
      <c r="F35" s="86">
        <v>2</v>
      </c>
      <c r="G35" s="86"/>
      <c r="H35" s="87">
        <v>10</v>
      </c>
      <c r="I35" s="88">
        <v>1985</v>
      </c>
      <c r="J35" s="88">
        <v>2012</v>
      </c>
    </row>
    <row r="36" spans="1:10" x14ac:dyDescent="0.2">
      <c r="A36" s="85" t="s">
        <v>173</v>
      </c>
      <c r="B36" s="86"/>
      <c r="C36" s="86"/>
      <c r="D36" s="86"/>
      <c r="E36" s="86"/>
      <c r="F36" s="86">
        <v>3</v>
      </c>
      <c r="G36" s="86"/>
      <c r="H36" s="87">
        <v>3</v>
      </c>
      <c r="I36" s="88">
        <v>2000</v>
      </c>
      <c r="J36" s="88">
        <v>2011</v>
      </c>
    </row>
    <row r="37" spans="1:10" x14ac:dyDescent="0.2">
      <c r="A37" s="85" t="s">
        <v>76</v>
      </c>
      <c r="B37" s="86"/>
      <c r="C37" s="86"/>
      <c r="D37" s="86"/>
      <c r="E37" s="86"/>
      <c r="F37" s="86">
        <v>1</v>
      </c>
      <c r="G37" s="86">
        <v>1</v>
      </c>
      <c r="H37" s="87">
        <v>2</v>
      </c>
      <c r="I37" s="88">
        <v>2002</v>
      </c>
      <c r="J37" s="88">
        <v>2006</v>
      </c>
    </row>
    <row r="38" spans="1:10" x14ac:dyDescent="0.2">
      <c r="A38" s="85" t="s">
        <v>247</v>
      </c>
      <c r="B38" s="86"/>
      <c r="C38" s="86">
        <v>9</v>
      </c>
      <c r="D38" s="86"/>
      <c r="E38" s="86"/>
      <c r="F38" s="86">
        <v>1</v>
      </c>
      <c r="G38" s="86"/>
      <c r="H38" s="87">
        <v>10</v>
      </c>
      <c r="I38" s="88">
        <v>1986</v>
      </c>
      <c r="J38" s="88">
        <v>2013</v>
      </c>
    </row>
    <row r="39" spans="1:10" x14ac:dyDescent="0.2">
      <c r="A39" s="85" t="s">
        <v>57</v>
      </c>
      <c r="B39" s="86"/>
      <c r="C39" s="86">
        <v>1</v>
      </c>
      <c r="D39" s="86"/>
      <c r="E39" s="86">
        <v>3</v>
      </c>
      <c r="F39" s="86"/>
      <c r="G39" s="86"/>
      <c r="H39" s="87">
        <v>4</v>
      </c>
      <c r="I39" s="88">
        <v>1987</v>
      </c>
      <c r="J39" s="88">
        <v>1998</v>
      </c>
    </row>
    <row r="40" spans="1:10" x14ac:dyDescent="0.2">
      <c r="A40" s="85" t="s">
        <v>77</v>
      </c>
      <c r="B40" s="86"/>
      <c r="C40" s="86">
        <v>12</v>
      </c>
      <c r="D40" s="86"/>
      <c r="E40" s="86"/>
      <c r="F40" s="86">
        <v>2</v>
      </c>
      <c r="G40" s="86"/>
      <c r="H40" s="87">
        <v>14</v>
      </c>
      <c r="I40" s="88">
        <v>1992</v>
      </c>
      <c r="J40" s="88">
        <v>2014</v>
      </c>
    </row>
    <row r="41" spans="1:10" x14ac:dyDescent="0.2">
      <c r="A41" s="85" t="s">
        <v>58</v>
      </c>
      <c r="B41" s="86"/>
      <c r="C41" s="86">
        <v>1</v>
      </c>
      <c r="D41" s="86"/>
      <c r="E41" s="86"/>
      <c r="F41" s="86"/>
      <c r="G41" s="86"/>
      <c r="H41" s="87">
        <v>1</v>
      </c>
      <c r="I41" s="88"/>
      <c r="J41" s="88">
        <v>1985</v>
      </c>
    </row>
    <row r="42" spans="1:10" x14ac:dyDescent="0.2">
      <c r="A42" s="85" t="s">
        <v>177</v>
      </c>
      <c r="B42" s="86"/>
      <c r="C42" s="86">
        <v>1</v>
      </c>
      <c r="D42" s="86"/>
      <c r="E42" s="86"/>
      <c r="F42" s="86">
        <v>1</v>
      </c>
      <c r="G42" s="86"/>
      <c r="H42" s="87">
        <v>2</v>
      </c>
      <c r="I42" s="88">
        <v>2000</v>
      </c>
      <c r="J42" s="88">
        <v>2011</v>
      </c>
    </row>
    <row r="43" spans="1:10" x14ac:dyDescent="0.2">
      <c r="A43" s="85" t="s">
        <v>283</v>
      </c>
      <c r="B43" s="86"/>
      <c r="C43" s="86">
        <v>2</v>
      </c>
      <c r="D43" s="86"/>
      <c r="E43" s="86"/>
      <c r="F43" s="86"/>
      <c r="G43" s="86"/>
      <c r="H43" s="87">
        <v>2</v>
      </c>
      <c r="I43" s="88">
        <v>1995</v>
      </c>
      <c r="J43" s="88">
        <v>2002</v>
      </c>
    </row>
    <row r="44" spans="1:10" x14ac:dyDescent="0.2">
      <c r="A44" s="85" t="s">
        <v>108</v>
      </c>
      <c r="B44" s="86"/>
      <c r="C44" s="86">
        <v>3</v>
      </c>
      <c r="D44" s="86"/>
      <c r="E44" s="86">
        <v>1</v>
      </c>
      <c r="F44" s="86"/>
      <c r="G44" s="86"/>
      <c r="H44" s="87">
        <v>4</v>
      </c>
      <c r="I44" s="88">
        <v>2000</v>
      </c>
      <c r="J44" s="88">
        <v>2011</v>
      </c>
    </row>
    <row r="45" spans="1:10" x14ac:dyDescent="0.2">
      <c r="A45" s="85" t="s">
        <v>109</v>
      </c>
      <c r="B45" s="86">
        <v>1</v>
      </c>
      <c r="C45" s="86">
        <v>2</v>
      </c>
      <c r="D45" s="86"/>
      <c r="E45" s="86"/>
      <c r="F45" s="86"/>
      <c r="G45" s="86"/>
      <c r="H45" s="87">
        <v>3</v>
      </c>
      <c r="I45" s="88">
        <v>2000</v>
      </c>
      <c r="J45" s="88">
        <v>2012</v>
      </c>
    </row>
    <row r="46" spans="1:10" x14ac:dyDescent="0.2">
      <c r="A46" s="85" t="s">
        <v>110</v>
      </c>
      <c r="B46" s="86"/>
      <c r="C46" s="86">
        <v>1</v>
      </c>
      <c r="D46" s="86">
        <v>2</v>
      </c>
      <c r="E46" s="86"/>
      <c r="F46" s="86">
        <v>3</v>
      </c>
      <c r="G46" s="86"/>
      <c r="H46" s="87">
        <v>6</v>
      </c>
      <c r="I46" s="88">
        <v>2000</v>
      </c>
      <c r="J46" s="88">
        <v>2012</v>
      </c>
    </row>
    <row r="47" spans="1:10" x14ac:dyDescent="0.2">
      <c r="A47" s="85" t="s">
        <v>29</v>
      </c>
      <c r="B47" s="86"/>
      <c r="C47" s="86"/>
      <c r="D47" s="86"/>
      <c r="E47" s="86"/>
      <c r="F47" s="86">
        <v>2</v>
      </c>
      <c r="G47" s="86"/>
      <c r="H47" s="87">
        <v>2</v>
      </c>
      <c r="I47" s="88">
        <v>1999</v>
      </c>
      <c r="J47" s="88">
        <v>2005</v>
      </c>
    </row>
    <row r="48" spans="1:10" x14ac:dyDescent="0.2">
      <c r="A48" s="85" t="s">
        <v>111</v>
      </c>
      <c r="B48" s="86">
        <v>2</v>
      </c>
      <c r="C48" s="86">
        <v>8</v>
      </c>
      <c r="D48" s="86"/>
      <c r="E48" s="86">
        <v>5</v>
      </c>
      <c r="F48" s="86">
        <v>5</v>
      </c>
      <c r="G48" s="86"/>
      <c r="H48" s="87">
        <v>20</v>
      </c>
      <c r="I48" s="88">
        <v>1987</v>
      </c>
      <c r="J48" s="88">
        <v>2011</v>
      </c>
    </row>
    <row r="49" spans="1:10" x14ac:dyDescent="0.2">
      <c r="A49" s="85" t="s">
        <v>429</v>
      </c>
      <c r="B49" s="86">
        <v>1</v>
      </c>
      <c r="C49" s="86"/>
      <c r="D49" s="86"/>
      <c r="E49" s="86"/>
      <c r="F49" s="86"/>
      <c r="G49" s="86"/>
      <c r="H49" s="87">
        <v>1</v>
      </c>
      <c r="I49" s="88"/>
      <c r="J49" s="88">
        <v>2005</v>
      </c>
    </row>
    <row r="50" spans="1:10" x14ac:dyDescent="0.2">
      <c r="A50" s="85" t="s">
        <v>59</v>
      </c>
      <c r="B50" s="86"/>
      <c r="C50" s="86">
        <v>5</v>
      </c>
      <c r="D50" s="86"/>
      <c r="E50" s="86">
        <v>1</v>
      </c>
      <c r="F50" s="86"/>
      <c r="G50" s="86"/>
      <c r="H50" s="87">
        <v>6</v>
      </c>
      <c r="I50" s="88">
        <v>1987</v>
      </c>
      <c r="J50" s="88">
        <v>2000</v>
      </c>
    </row>
    <row r="51" spans="1:10" x14ac:dyDescent="0.2">
      <c r="A51" s="85" t="s">
        <v>112</v>
      </c>
      <c r="B51" s="86">
        <v>2</v>
      </c>
      <c r="C51" s="86">
        <v>4</v>
      </c>
      <c r="D51" s="86"/>
      <c r="E51" s="86"/>
      <c r="F51" s="86"/>
      <c r="G51" s="86"/>
      <c r="H51" s="87">
        <v>6</v>
      </c>
      <c r="I51" s="88">
        <v>1992</v>
      </c>
      <c r="J51" s="88">
        <v>2012</v>
      </c>
    </row>
    <row r="52" spans="1:10" x14ac:dyDescent="0.2">
      <c r="A52" s="85" t="s">
        <v>113</v>
      </c>
      <c r="B52" s="86"/>
      <c r="C52" s="86"/>
      <c r="D52" s="86"/>
      <c r="E52" s="86"/>
      <c r="F52" s="86">
        <v>3</v>
      </c>
      <c r="G52" s="86"/>
      <c r="H52" s="87">
        <v>3</v>
      </c>
      <c r="I52" s="88">
        <v>2000</v>
      </c>
      <c r="J52" s="88">
        <v>2010</v>
      </c>
    </row>
    <row r="53" spans="1:10" x14ac:dyDescent="0.2">
      <c r="A53" s="85" t="s">
        <v>60</v>
      </c>
      <c r="B53" s="86"/>
      <c r="C53" s="86">
        <v>3</v>
      </c>
      <c r="D53" s="86"/>
      <c r="E53" s="86">
        <v>1</v>
      </c>
      <c r="F53" s="86">
        <v>2</v>
      </c>
      <c r="G53" s="86"/>
      <c r="H53" s="87">
        <v>6</v>
      </c>
      <c r="I53" s="88">
        <v>1992</v>
      </c>
      <c r="J53" s="88">
        <v>2009</v>
      </c>
    </row>
    <row r="54" spans="1:10" x14ac:dyDescent="0.2">
      <c r="A54" s="85" t="s">
        <v>61</v>
      </c>
      <c r="B54" s="86"/>
      <c r="C54" s="86">
        <v>5</v>
      </c>
      <c r="D54" s="86"/>
      <c r="E54" s="86"/>
      <c r="F54" s="86"/>
      <c r="G54" s="86"/>
      <c r="H54" s="87">
        <v>5</v>
      </c>
      <c r="I54" s="88">
        <v>1994</v>
      </c>
      <c r="J54" s="88">
        <v>2013</v>
      </c>
    </row>
    <row r="55" spans="1:10" x14ac:dyDescent="0.2">
      <c r="A55" s="85" t="s">
        <v>62</v>
      </c>
      <c r="B55" s="86"/>
      <c r="C55" s="86">
        <v>2</v>
      </c>
      <c r="D55" s="86"/>
      <c r="E55" s="86"/>
      <c r="F55" s="86"/>
      <c r="G55" s="86"/>
      <c r="H55" s="87">
        <v>2</v>
      </c>
      <c r="I55" s="88">
        <v>2005</v>
      </c>
      <c r="J55" s="88">
        <v>2011</v>
      </c>
    </row>
    <row r="56" spans="1:10" x14ac:dyDescent="0.2">
      <c r="A56" s="85" t="s">
        <v>89</v>
      </c>
      <c r="B56" s="86"/>
      <c r="C56" s="86">
        <v>3</v>
      </c>
      <c r="D56" s="86"/>
      <c r="E56" s="86">
        <v>1</v>
      </c>
      <c r="F56" s="86">
        <v>1</v>
      </c>
      <c r="G56" s="86"/>
      <c r="H56" s="87">
        <v>5</v>
      </c>
      <c r="I56" s="88">
        <v>1993</v>
      </c>
      <c r="J56" s="88">
        <v>2005</v>
      </c>
    </row>
    <row r="57" spans="1:10" x14ac:dyDescent="0.2">
      <c r="A57" s="85" t="s">
        <v>10</v>
      </c>
      <c r="B57" s="86"/>
      <c r="C57" s="86">
        <v>9</v>
      </c>
      <c r="D57" s="86"/>
      <c r="E57" s="86"/>
      <c r="F57" s="86">
        <v>3</v>
      </c>
      <c r="G57" s="86"/>
      <c r="H57" s="87">
        <v>12</v>
      </c>
      <c r="I57" s="88">
        <v>1987</v>
      </c>
      <c r="J57" s="88">
        <v>2012</v>
      </c>
    </row>
    <row r="58" spans="1:10" x14ac:dyDescent="0.2">
      <c r="A58" s="85" t="s">
        <v>79</v>
      </c>
      <c r="B58" s="86"/>
      <c r="C58" s="86"/>
      <c r="D58" s="86"/>
      <c r="E58" s="86">
        <v>1</v>
      </c>
      <c r="F58" s="86">
        <v>3</v>
      </c>
      <c r="G58" s="86"/>
      <c r="H58" s="87">
        <v>4</v>
      </c>
      <c r="I58" s="88">
        <v>2000</v>
      </c>
      <c r="J58" s="88">
        <v>2011</v>
      </c>
    </row>
    <row r="59" spans="1:10" x14ac:dyDescent="0.2">
      <c r="A59" s="85" t="s">
        <v>63</v>
      </c>
      <c r="B59" s="86"/>
      <c r="C59" s="86"/>
      <c r="D59" s="86"/>
      <c r="E59" s="86">
        <v>22</v>
      </c>
      <c r="F59" s="86">
        <v>3</v>
      </c>
      <c r="G59" s="86"/>
      <c r="H59" s="87">
        <v>25</v>
      </c>
      <c r="I59" s="88">
        <v>1988</v>
      </c>
      <c r="J59" s="88">
        <v>2011</v>
      </c>
    </row>
    <row r="60" spans="1:10" x14ac:dyDescent="0.2">
      <c r="A60" s="85" t="s">
        <v>80</v>
      </c>
      <c r="B60" s="86"/>
      <c r="C60" s="86">
        <v>6</v>
      </c>
      <c r="D60" s="86"/>
      <c r="E60" s="86"/>
      <c r="F60" s="86"/>
      <c r="G60" s="86"/>
      <c r="H60" s="87">
        <v>6</v>
      </c>
      <c r="I60" s="88">
        <v>1990</v>
      </c>
      <c r="J60" s="88">
        <v>2012</v>
      </c>
    </row>
    <row r="61" spans="1:10" x14ac:dyDescent="0.2">
      <c r="A61" s="85" t="s">
        <v>31</v>
      </c>
      <c r="B61" s="86"/>
      <c r="C61" s="86">
        <v>2</v>
      </c>
      <c r="D61" s="86"/>
      <c r="E61" s="86">
        <v>1</v>
      </c>
      <c r="F61" s="86">
        <v>2</v>
      </c>
      <c r="G61" s="86"/>
      <c r="H61" s="87">
        <v>5</v>
      </c>
      <c r="I61" s="88">
        <v>1995</v>
      </c>
      <c r="J61" s="88">
        <v>2011</v>
      </c>
    </row>
    <row r="62" spans="1:10" x14ac:dyDescent="0.2">
      <c r="A62" s="85" t="s">
        <v>114</v>
      </c>
      <c r="B62" s="86">
        <v>2</v>
      </c>
      <c r="C62" s="86">
        <v>9</v>
      </c>
      <c r="D62" s="86"/>
      <c r="E62" s="86">
        <v>1</v>
      </c>
      <c r="F62" s="86">
        <v>5</v>
      </c>
      <c r="G62" s="86"/>
      <c r="H62" s="87">
        <v>17</v>
      </c>
      <c r="I62" s="88">
        <v>1989</v>
      </c>
      <c r="J62" s="88">
        <v>2014</v>
      </c>
    </row>
    <row r="63" spans="1:10" ht="32" x14ac:dyDescent="0.2">
      <c r="A63" s="85" t="s">
        <v>159</v>
      </c>
      <c r="B63" s="86"/>
      <c r="C63" s="86"/>
      <c r="D63" s="86"/>
      <c r="E63" s="86"/>
      <c r="F63" s="86">
        <v>2</v>
      </c>
      <c r="G63" s="86"/>
      <c r="H63" s="87">
        <v>2</v>
      </c>
      <c r="I63" s="88">
        <v>2000</v>
      </c>
      <c r="J63" s="88">
        <v>2009</v>
      </c>
    </row>
    <row r="64" spans="1:10" x14ac:dyDescent="0.2">
      <c r="A64" s="85" t="s">
        <v>156</v>
      </c>
      <c r="B64" s="86"/>
      <c r="C64" s="86">
        <v>2</v>
      </c>
      <c r="D64" s="86">
        <v>8</v>
      </c>
      <c r="E64" s="86">
        <v>4</v>
      </c>
      <c r="F64" s="86">
        <v>1</v>
      </c>
      <c r="G64" s="86"/>
      <c r="H64" s="87">
        <v>15</v>
      </c>
      <c r="I64" s="88"/>
      <c r="J64" s="88">
        <v>2014</v>
      </c>
    </row>
    <row r="65" spans="1:10" ht="32" x14ac:dyDescent="0.2">
      <c r="A65" s="85" t="s">
        <v>160</v>
      </c>
      <c r="B65" s="86"/>
      <c r="C65" s="86">
        <v>1</v>
      </c>
      <c r="D65" s="86"/>
      <c r="E65" s="86"/>
      <c r="F65" s="86">
        <v>3</v>
      </c>
      <c r="G65" s="86"/>
      <c r="H65" s="87">
        <v>4</v>
      </c>
      <c r="I65" s="88">
        <v>1993</v>
      </c>
      <c r="J65" s="88">
        <v>2012</v>
      </c>
    </row>
    <row r="66" spans="1:10" x14ac:dyDescent="0.2">
      <c r="A66" s="85" t="s">
        <v>168</v>
      </c>
      <c r="B66" s="86"/>
      <c r="C66" s="86"/>
      <c r="D66" s="86"/>
      <c r="E66" s="86"/>
      <c r="F66" s="86">
        <v>3</v>
      </c>
      <c r="G66" s="86">
        <v>1</v>
      </c>
      <c r="H66" s="87">
        <v>4</v>
      </c>
      <c r="I66" s="88">
        <v>2000</v>
      </c>
      <c r="J66" s="88">
        <v>2012</v>
      </c>
    </row>
    <row r="67" spans="1:10" x14ac:dyDescent="0.2">
      <c r="A67" s="85" t="s">
        <v>115</v>
      </c>
      <c r="B67" s="86">
        <v>1</v>
      </c>
      <c r="C67" s="86">
        <v>2</v>
      </c>
      <c r="D67" s="86"/>
      <c r="E67" s="86"/>
      <c r="F67" s="86">
        <v>1</v>
      </c>
      <c r="G67" s="86"/>
      <c r="H67" s="87">
        <v>4</v>
      </c>
      <c r="I67" s="88">
        <v>2000</v>
      </c>
      <c r="J67" s="88">
        <v>2011</v>
      </c>
    </row>
    <row r="68" spans="1:10" x14ac:dyDescent="0.2">
      <c r="A68" s="85" t="s">
        <v>116</v>
      </c>
      <c r="B68" s="86">
        <v>2</v>
      </c>
      <c r="C68" s="86">
        <v>5</v>
      </c>
      <c r="D68" s="86"/>
      <c r="E68" s="86"/>
      <c r="F68" s="86">
        <v>1</v>
      </c>
      <c r="G68" s="86"/>
      <c r="H68" s="87">
        <v>8</v>
      </c>
      <c r="I68" s="88">
        <v>2000</v>
      </c>
      <c r="J68" s="88">
        <v>2009</v>
      </c>
    </row>
    <row r="69" spans="1:10" x14ac:dyDescent="0.2">
      <c r="A69" s="85" t="s">
        <v>464</v>
      </c>
      <c r="B69" s="86"/>
      <c r="C69" s="86"/>
      <c r="D69" s="86"/>
      <c r="E69" s="86"/>
      <c r="F69" s="86"/>
      <c r="G69" s="86">
        <v>1</v>
      </c>
      <c r="H69" s="87">
        <v>1</v>
      </c>
      <c r="I69" s="88">
        <v>1986</v>
      </c>
      <c r="J69" s="88">
        <v>2013</v>
      </c>
    </row>
    <row r="70" spans="1:10" x14ac:dyDescent="0.2">
      <c r="A70" s="85" t="s">
        <v>35</v>
      </c>
      <c r="B70" s="86"/>
      <c r="C70" s="86"/>
      <c r="D70" s="86"/>
      <c r="E70" s="86"/>
      <c r="F70" s="86">
        <v>3</v>
      </c>
      <c r="G70" s="86"/>
      <c r="H70" s="87">
        <v>3</v>
      </c>
      <c r="I70" s="88"/>
      <c r="J70" s="88">
        <v>2002</v>
      </c>
    </row>
    <row r="71" spans="1:10" x14ac:dyDescent="0.2">
      <c r="A71" s="85" t="s">
        <v>117</v>
      </c>
      <c r="B71" s="86"/>
      <c r="C71" s="86">
        <v>6</v>
      </c>
      <c r="D71" s="86"/>
      <c r="E71" s="86"/>
      <c r="F71" s="86">
        <v>2</v>
      </c>
      <c r="G71" s="86"/>
      <c r="H71" s="87">
        <v>8</v>
      </c>
      <c r="I71" s="88">
        <v>2005</v>
      </c>
      <c r="J71" s="88">
        <v>2011</v>
      </c>
    </row>
    <row r="72" spans="1:10" x14ac:dyDescent="0.2">
      <c r="A72" s="85" t="s">
        <v>118</v>
      </c>
      <c r="B72" s="86">
        <v>7</v>
      </c>
      <c r="C72" s="86">
        <v>7</v>
      </c>
      <c r="D72" s="86">
        <v>1</v>
      </c>
      <c r="E72" s="86">
        <v>2</v>
      </c>
      <c r="F72" s="86">
        <v>3</v>
      </c>
      <c r="G72" s="86"/>
      <c r="H72" s="87">
        <v>20</v>
      </c>
      <c r="I72" s="88">
        <v>1992</v>
      </c>
      <c r="J72" s="88">
        <v>2013</v>
      </c>
    </row>
    <row r="73" spans="1:10" x14ac:dyDescent="0.2">
      <c r="A73" s="85" t="s">
        <v>90</v>
      </c>
      <c r="B73" s="86"/>
      <c r="C73" s="86">
        <v>1</v>
      </c>
      <c r="D73" s="86"/>
      <c r="E73" s="86"/>
      <c r="F73" s="86">
        <v>1</v>
      </c>
      <c r="G73" s="86"/>
      <c r="H73" s="87">
        <v>2</v>
      </c>
      <c r="I73" s="88">
        <v>1992</v>
      </c>
      <c r="J73" s="88">
        <v>2014</v>
      </c>
    </row>
    <row r="74" spans="1:10" x14ac:dyDescent="0.2">
      <c r="A74" s="85" t="s">
        <v>119</v>
      </c>
      <c r="B74" s="86">
        <v>1</v>
      </c>
      <c r="C74" s="86">
        <v>6</v>
      </c>
      <c r="D74" s="86"/>
      <c r="E74" s="86"/>
      <c r="F74" s="86"/>
      <c r="G74" s="86"/>
      <c r="H74" s="87">
        <v>7</v>
      </c>
      <c r="I74" s="88">
        <v>2001</v>
      </c>
      <c r="J74" s="88">
        <v>2009</v>
      </c>
    </row>
    <row r="75" spans="1:10" x14ac:dyDescent="0.2">
      <c r="A75" s="85" t="s">
        <v>120</v>
      </c>
      <c r="B75" s="86">
        <v>1</v>
      </c>
      <c r="C75" s="86">
        <v>2</v>
      </c>
      <c r="D75" s="86"/>
      <c r="E75" s="86"/>
      <c r="F75" s="86">
        <v>2</v>
      </c>
      <c r="G75" s="86"/>
      <c r="H75" s="87">
        <v>5</v>
      </c>
      <c r="I75" s="88">
        <v>1987</v>
      </c>
      <c r="J75" s="88">
        <v>2012</v>
      </c>
    </row>
    <row r="76" spans="1:10" x14ac:dyDescent="0.2">
      <c r="A76" s="85" t="s">
        <v>64</v>
      </c>
      <c r="B76" s="86"/>
      <c r="C76" s="86">
        <v>1</v>
      </c>
      <c r="D76" s="86"/>
      <c r="E76" s="86"/>
      <c r="F76" s="86"/>
      <c r="G76" s="86"/>
      <c r="H76" s="87">
        <v>1</v>
      </c>
      <c r="I76" s="88">
        <v>2000</v>
      </c>
      <c r="J76" s="88">
        <v>2011</v>
      </c>
    </row>
    <row r="77" spans="1:10" x14ac:dyDescent="0.2">
      <c r="A77" s="85" t="s">
        <v>36</v>
      </c>
      <c r="B77" s="86"/>
      <c r="C77" s="86">
        <v>1</v>
      </c>
      <c r="D77" s="86"/>
      <c r="E77" s="86"/>
      <c r="F77" s="86">
        <v>3</v>
      </c>
      <c r="G77" s="86"/>
      <c r="H77" s="87">
        <v>4</v>
      </c>
      <c r="I77" s="88"/>
      <c r="J77" s="88">
        <v>1987</v>
      </c>
    </row>
    <row r="78" spans="1:10" x14ac:dyDescent="0.2">
      <c r="A78" s="85" t="s">
        <v>161</v>
      </c>
      <c r="B78" s="86"/>
      <c r="C78" s="86"/>
      <c r="D78" s="86"/>
      <c r="E78" s="86">
        <v>1</v>
      </c>
      <c r="F78" s="86">
        <v>6</v>
      </c>
      <c r="G78" s="86"/>
      <c r="H78" s="87">
        <v>7</v>
      </c>
      <c r="I78" s="88">
        <v>2000</v>
      </c>
      <c r="J78" s="88">
        <v>2013</v>
      </c>
    </row>
    <row r="79" spans="1:10" x14ac:dyDescent="0.2">
      <c r="A79" s="85" t="s">
        <v>37</v>
      </c>
      <c r="B79" s="86"/>
      <c r="C79" s="86"/>
      <c r="D79" s="86"/>
      <c r="E79" s="86"/>
      <c r="F79" s="86">
        <v>3</v>
      </c>
      <c r="G79" s="86"/>
      <c r="H79" s="87">
        <v>3</v>
      </c>
      <c r="I79" s="88">
        <v>2000</v>
      </c>
      <c r="J79" s="88">
        <v>2013</v>
      </c>
    </row>
    <row r="80" spans="1:10" x14ac:dyDescent="0.2">
      <c r="A80" s="85" t="s">
        <v>81</v>
      </c>
      <c r="B80" s="86"/>
      <c r="C80" s="86">
        <v>4</v>
      </c>
      <c r="D80" s="86"/>
      <c r="E80" s="86">
        <v>1</v>
      </c>
      <c r="F80" s="86"/>
      <c r="G80" s="86">
        <v>1</v>
      </c>
      <c r="H80" s="87">
        <v>6</v>
      </c>
      <c r="I80" s="88">
        <v>2006</v>
      </c>
      <c r="J80" s="88">
        <v>2013</v>
      </c>
    </row>
    <row r="81" spans="1:10" x14ac:dyDescent="0.2">
      <c r="A81" s="85" t="s">
        <v>121</v>
      </c>
      <c r="B81" s="86">
        <v>1</v>
      </c>
      <c r="C81" s="86">
        <v>4</v>
      </c>
      <c r="D81" s="86"/>
      <c r="E81" s="86"/>
      <c r="F81" s="86">
        <v>2</v>
      </c>
      <c r="G81" s="86"/>
      <c r="H81" s="87">
        <v>7</v>
      </c>
      <c r="I81" s="88">
        <v>1987</v>
      </c>
      <c r="J81" s="88">
        <v>2004</v>
      </c>
    </row>
    <row r="82" spans="1:10" x14ac:dyDescent="0.2">
      <c r="A82" s="85" t="s">
        <v>162</v>
      </c>
      <c r="B82" s="86"/>
      <c r="C82" s="86"/>
      <c r="D82" s="86"/>
      <c r="E82" s="86"/>
      <c r="F82" s="86">
        <v>3</v>
      </c>
      <c r="G82" s="86"/>
      <c r="H82" s="87">
        <v>3</v>
      </c>
      <c r="I82" s="88">
        <v>1995</v>
      </c>
      <c r="J82" s="88">
        <v>2011</v>
      </c>
    </row>
    <row r="83" spans="1:10" x14ac:dyDescent="0.2">
      <c r="A83" s="85" t="s">
        <v>122</v>
      </c>
      <c r="B83" s="86"/>
      <c r="C83" s="86">
        <v>5</v>
      </c>
      <c r="D83" s="86"/>
      <c r="E83" s="86"/>
      <c r="F83" s="86"/>
      <c r="G83" s="86"/>
      <c r="H83" s="87">
        <v>5</v>
      </c>
      <c r="I83" s="88">
        <v>1995</v>
      </c>
      <c r="J83" s="88">
        <v>2010</v>
      </c>
    </row>
    <row r="84" spans="1:10" x14ac:dyDescent="0.2">
      <c r="A84" s="85" t="s">
        <v>91</v>
      </c>
      <c r="B84" s="86"/>
      <c r="C84" s="86">
        <v>5</v>
      </c>
      <c r="D84" s="86"/>
      <c r="E84" s="86">
        <v>3</v>
      </c>
      <c r="F84" s="86">
        <v>1</v>
      </c>
      <c r="G84" s="86"/>
      <c r="H84" s="87">
        <v>9</v>
      </c>
      <c r="I84" s="88">
        <v>1992</v>
      </c>
      <c r="J84" s="88">
        <v>2013</v>
      </c>
    </row>
    <row r="85" spans="1:10" x14ac:dyDescent="0.2">
      <c r="A85" s="85" t="s">
        <v>65</v>
      </c>
      <c r="B85" s="86"/>
      <c r="C85" s="86">
        <v>4</v>
      </c>
      <c r="D85" s="86"/>
      <c r="E85" s="86">
        <v>5</v>
      </c>
      <c r="F85" s="86"/>
      <c r="G85" s="86"/>
      <c r="H85" s="87">
        <v>9</v>
      </c>
      <c r="I85" s="88">
        <v>1987</v>
      </c>
      <c r="J85" s="88">
        <v>2010</v>
      </c>
    </row>
    <row r="86" spans="1:10" x14ac:dyDescent="0.2">
      <c r="A86" s="85" t="s">
        <v>123</v>
      </c>
      <c r="B86" s="86"/>
      <c r="C86" s="86">
        <v>4</v>
      </c>
      <c r="D86" s="86"/>
      <c r="E86" s="86">
        <v>1</v>
      </c>
      <c r="F86" s="86">
        <v>2</v>
      </c>
      <c r="G86" s="86"/>
      <c r="H86" s="87">
        <v>7</v>
      </c>
      <c r="I86" s="88">
        <v>1993</v>
      </c>
      <c r="J86" s="88">
        <v>2012</v>
      </c>
    </row>
    <row r="87" spans="1:10" x14ac:dyDescent="0.2">
      <c r="A87" s="85" t="s">
        <v>124</v>
      </c>
      <c r="B87" s="86">
        <v>1</v>
      </c>
      <c r="C87" s="86">
        <v>7</v>
      </c>
      <c r="D87" s="86"/>
      <c r="E87" s="86">
        <v>3</v>
      </c>
      <c r="F87" s="86">
        <v>2</v>
      </c>
      <c r="G87" s="86"/>
      <c r="H87" s="87">
        <v>13</v>
      </c>
      <c r="I87" s="88">
        <v>1992</v>
      </c>
      <c r="J87" s="88">
        <v>2012</v>
      </c>
    </row>
    <row r="88" spans="1:10" ht="32" x14ac:dyDescent="0.2">
      <c r="A88" s="85" t="s">
        <v>465</v>
      </c>
      <c r="B88" s="86"/>
      <c r="C88" s="86"/>
      <c r="D88" s="86"/>
      <c r="E88" s="86"/>
      <c r="F88" s="86">
        <v>1</v>
      </c>
      <c r="G88" s="86">
        <v>1</v>
      </c>
      <c r="H88" s="87">
        <v>2</v>
      </c>
      <c r="I88" s="88">
        <v>1986</v>
      </c>
      <c r="J88" s="88">
        <v>2013</v>
      </c>
    </row>
    <row r="89" spans="1:10" x14ac:dyDescent="0.2">
      <c r="A89" s="85" t="s">
        <v>337</v>
      </c>
      <c r="B89" s="86"/>
      <c r="C89" s="86"/>
      <c r="D89" s="86"/>
      <c r="E89" s="86"/>
      <c r="F89" s="86">
        <v>1</v>
      </c>
      <c r="G89" s="86"/>
      <c r="H89" s="87">
        <v>1</v>
      </c>
      <c r="I89" s="88">
        <v>2007</v>
      </c>
      <c r="J89" s="88">
        <v>2011</v>
      </c>
    </row>
    <row r="90" spans="1:10" x14ac:dyDescent="0.2">
      <c r="A90" s="85" t="s">
        <v>92</v>
      </c>
      <c r="B90" s="86"/>
      <c r="C90" s="86">
        <v>3</v>
      </c>
      <c r="D90" s="86">
        <v>4</v>
      </c>
      <c r="E90" s="86">
        <v>1</v>
      </c>
      <c r="F90" s="86">
        <v>2</v>
      </c>
      <c r="G90" s="86"/>
      <c r="H90" s="87">
        <v>10</v>
      </c>
      <c r="I90" s="88"/>
      <c r="J90" s="88">
        <v>2014</v>
      </c>
    </row>
    <row r="91" spans="1:10" ht="32" x14ac:dyDescent="0.2">
      <c r="A91" s="85" t="s">
        <v>170</v>
      </c>
      <c r="B91" s="86"/>
      <c r="C91" s="86"/>
      <c r="D91" s="86"/>
      <c r="E91" s="86"/>
      <c r="F91" s="86">
        <v>1</v>
      </c>
      <c r="G91" s="86"/>
      <c r="H91" s="87">
        <v>1</v>
      </c>
      <c r="I91" s="88">
        <v>1991</v>
      </c>
      <c r="J91" s="88">
        <v>2012</v>
      </c>
    </row>
    <row r="92" spans="1:10" x14ac:dyDescent="0.2">
      <c r="A92" s="85" t="s">
        <v>66</v>
      </c>
      <c r="B92" s="86"/>
      <c r="C92" s="86"/>
      <c r="D92" s="86"/>
      <c r="E92" s="86">
        <v>3</v>
      </c>
      <c r="F92" s="86">
        <v>1</v>
      </c>
      <c r="G92" s="86"/>
      <c r="H92" s="87">
        <v>4</v>
      </c>
      <c r="I92" s="88"/>
      <c r="J92" s="88">
        <v>2006</v>
      </c>
    </row>
    <row r="93" spans="1:10" x14ac:dyDescent="0.2">
      <c r="A93" s="85" t="s">
        <v>227</v>
      </c>
      <c r="B93" s="86"/>
      <c r="C93" s="86"/>
      <c r="D93" s="86"/>
      <c r="E93" s="86">
        <v>1</v>
      </c>
      <c r="F93" s="86"/>
      <c r="G93" s="86"/>
      <c r="H93" s="87">
        <v>1</v>
      </c>
      <c r="I93" s="88">
        <v>1997</v>
      </c>
      <c r="J93" s="88">
        <v>2013</v>
      </c>
    </row>
    <row r="94" spans="1:10" x14ac:dyDescent="0.2">
      <c r="A94" s="85" t="s">
        <v>67</v>
      </c>
      <c r="B94" s="86"/>
      <c r="C94" s="86">
        <v>1</v>
      </c>
      <c r="D94" s="86"/>
      <c r="E94" s="86"/>
      <c r="F94" s="86"/>
      <c r="G94" s="86"/>
      <c r="H94" s="87">
        <v>1</v>
      </c>
      <c r="I94" s="88"/>
      <c r="J94" s="88">
        <v>1996</v>
      </c>
    </row>
    <row r="95" spans="1:10" x14ac:dyDescent="0.2">
      <c r="A95" s="85" t="s">
        <v>68</v>
      </c>
      <c r="B95" s="86"/>
      <c r="C95" s="86">
        <v>12</v>
      </c>
      <c r="D95" s="86"/>
      <c r="E95" s="86">
        <v>4</v>
      </c>
      <c r="F95" s="86"/>
      <c r="G95" s="86"/>
      <c r="H95" s="87">
        <v>16</v>
      </c>
      <c r="I95" s="88"/>
      <c r="J95" s="88">
        <v>1990</v>
      </c>
    </row>
    <row r="96" spans="1:10" x14ac:dyDescent="0.2">
      <c r="A96" s="85" t="s">
        <v>15</v>
      </c>
      <c r="B96" s="86"/>
      <c r="C96" s="86">
        <v>6</v>
      </c>
      <c r="D96" s="86"/>
      <c r="E96" s="86"/>
      <c r="F96" s="86">
        <v>1</v>
      </c>
      <c r="G96" s="86"/>
      <c r="H96" s="87">
        <v>7</v>
      </c>
      <c r="I96" s="88">
        <v>1985</v>
      </c>
      <c r="J96" s="88">
        <v>2013</v>
      </c>
    </row>
    <row r="97" spans="1:10" x14ac:dyDescent="0.2">
      <c r="A97" s="85" t="s">
        <v>340</v>
      </c>
      <c r="B97" s="86"/>
      <c r="C97" s="86"/>
      <c r="D97" s="86"/>
      <c r="E97" s="86"/>
      <c r="F97" s="86">
        <v>1</v>
      </c>
      <c r="G97" s="86"/>
      <c r="H97" s="87">
        <v>1</v>
      </c>
      <c r="I97" s="88">
        <v>1993</v>
      </c>
      <c r="J97" s="88">
        <v>2013</v>
      </c>
    </row>
    <row r="98" spans="1:10" x14ac:dyDescent="0.2">
      <c r="A98" s="85" t="s">
        <v>39</v>
      </c>
      <c r="B98" s="86"/>
      <c r="C98" s="86"/>
      <c r="D98" s="86"/>
      <c r="E98" s="86">
        <v>1</v>
      </c>
      <c r="F98" s="86"/>
      <c r="G98" s="86"/>
      <c r="H98" s="87">
        <v>1</v>
      </c>
      <c r="I98" s="88"/>
      <c r="J98" s="88">
        <v>2012</v>
      </c>
    </row>
    <row r="99" spans="1:10" x14ac:dyDescent="0.2">
      <c r="A99" s="85" t="s">
        <v>125</v>
      </c>
      <c r="B99" s="86">
        <v>1</v>
      </c>
      <c r="C99" s="86">
        <v>9</v>
      </c>
      <c r="D99" s="86"/>
      <c r="E99" s="86"/>
      <c r="F99" s="86">
        <v>1</v>
      </c>
      <c r="G99" s="86"/>
      <c r="H99" s="87">
        <v>11</v>
      </c>
      <c r="I99" s="88"/>
      <c r="J99" s="88">
        <v>1994</v>
      </c>
    </row>
    <row r="100" spans="1:10" x14ac:dyDescent="0.2">
      <c r="A100" s="85" t="s">
        <v>263</v>
      </c>
      <c r="B100" s="86"/>
      <c r="C100" s="86">
        <v>1</v>
      </c>
      <c r="D100" s="86"/>
      <c r="E100" s="86"/>
      <c r="F100" s="86"/>
      <c r="G100" s="86"/>
      <c r="H100" s="87">
        <v>1</v>
      </c>
      <c r="I100" s="88">
        <v>1992</v>
      </c>
      <c r="J100" s="88">
        <v>2013</v>
      </c>
    </row>
    <row r="101" spans="1:10" ht="32" x14ac:dyDescent="0.2">
      <c r="A101" s="85" t="s">
        <v>126</v>
      </c>
      <c r="B101" s="86"/>
      <c r="C101" s="86">
        <v>1</v>
      </c>
      <c r="D101" s="86"/>
      <c r="E101" s="86"/>
      <c r="F101" s="86">
        <v>2</v>
      </c>
      <c r="G101" s="86"/>
      <c r="H101" s="87">
        <v>3</v>
      </c>
      <c r="I101" s="88"/>
      <c r="J101" s="88">
        <v>2009</v>
      </c>
    </row>
    <row r="102" spans="1:10" x14ac:dyDescent="0.2">
      <c r="A102" s="85" t="s">
        <v>127</v>
      </c>
      <c r="B102" s="86"/>
      <c r="C102" s="86">
        <v>11</v>
      </c>
      <c r="D102" s="86"/>
      <c r="E102" s="86"/>
      <c r="F102" s="86">
        <v>2</v>
      </c>
      <c r="G102" s="86"/>
      <c r="H102" s="87">
        <v>13</v>
      </c>
      <c r="I102" s="88">
        <v>2000</v>
      </c>
      <c r="J102" s="88">
        <v>2008</v>
      </c>
    </row>
    <row r="103" spans="1:10" x14ac:dyDescent="0.2">
      <c r="A103" s="85" t="s">
        <v>41</v>
      </c>
      <c r="B103" s="86"/>
      <c r="C103" s="86"/>
      <c r="D103" s="86"/>
      <c r="E103" s="86">
        <v>4</v>
      </c>
      <c r="F103" s="86">
        <v>3</v>
      </c>
      <c r="G103" s="86"/>
      <c r="H103" s="87">
        <v>7</v>
      </c>
      <c r="I103" s="88">
        <v>1986</v>
      </c>
      <c r="J103" s="88">
        <v>2013</v>
      </c>
    </row>
    <row r="104" spans="1:10" x14ac:dyDescent="0.2">
      <c r="A104" s="85" t="s">
        <v>129</v>
      </c>
      <c r="B104" s="86">
        <v>1</v>
      </c>
      <c r="C104" s="86">
        <v>3</v>
      </c>
      <c r="D104" s="86">
        <v>2</v>
      </c>
      <c r="E104" s="86"/>
      <c r="F104" s="86">
        <v>3</v>
      </c>
      <c r="G104" s="86"/>
      <c r="H104" s="87">
        <v>9</v>
      </c>
      <c r="I104" s="88">
        <v>2000</v>
      </c>
      <c r="J104" s="88">
        <v>2010</v>
      </c>
    </row>
    <row r="105" spans="1:10" x14ac:dyDescent="0.2">
      <c r="A105" s="85" t="s">
        <v>166</v>
      </c>
      <c r="B105" s="86"/>
      <c r="C105" s="86"/>
      <c r="D105" s="86"/>
      <c r="E105" s="86"/>
      <c r="F105" s="86">
        <v>4</v>
      </c>
      <c r="G105" s="86"/>
      <c r="H105" s="87">
        <v>4</v>
      </c>
      <c r="I105" s="88">
        <v>2000</v>
      </c>
      <c r="J105" s="88">
        <v>2013</v>
      </c>
    </row>
    <row r="106" spans="1:10" x14ac:dyDescent="0.2">
      <c r="A106" s="85" t="s">
        <v>130</v>
      </c>
      <c r="B106" s="86"/>
      <c r="C106" s="86">
        <v>2</v>
      </c>
      <c r="D106" s="86"/>
      <c r="E106" s="86">
        <v>1</v>
      </c>
      <c r="F106" s="86"/>
      <c r="G106" s="86"/>
      <c r="H106" s="87">
        <v>3</v>
      </c>
      <c r="I106" s="88">
        <v>1999</v>
      </c>
      <c r="J106" s="88">
        <v>2011</v>
      </c>
    </row>
    <row r="107" spans="1:10" x14ac:dyDescent="0.2">
      <c r="A107" s="85" t="s">
        <v>322</v>
      </c>
      <c r="B107" s="86"/>
      <c r="C107" s="86"/>
      <c r="D107" s="86"/>
      <c r="E107" s="86"/>
      <c r="F107" s="86">
        <v>1</v>
      </c>
      <c r="G107" s="86"/>
      <c r="H107" s="87">
        <v>1</v>
      </c>
      <c r="I107" s="88">
        <v>1993</v>
      </c>
      <c r="J107" s="88">
        <v>2003</v>
      </c>
    </row>
    <row r="108" spans="1:10" x14ac:dyDescent="0.2">
      <c r="A108" s="85" t="s">
        <v>93</v>
      </c>
      <c r="B108" s="86"/>
      <c r="C108" s="86">
        <v>2</v>
      </c>
      <c r="D108" s="86"/>
      <c r="E108" s="86"/>
      <c r="F108" s="86"/>
      <c r="G108" s="86"/>
      <c r="H108" s="87">
        <v>2</v>
      </c>
      <c r="I108" s="88"/>
      <c r="J108" s="88">
        <v>2010</v>
      </c>
    </row>
    <row r="109" spans="1:10" x14ac:dyDescent="0.2">
      <c r="A109" s="85" t="s">
        <v>69</v>
      </c>
      <c r="B109" s="86">
        <v>1</v>
      </c>
      <c r="C109" s="86"/>
      <c r="D109" s="86"/>
      <c r="E109" s="86"/>
      <c r="F109" s="86">
        <v>1</v>
      </c>
      <c r="G109" s="86"/>
      <c r="H109" s="87">
        <v>2</v>
      </c>
      <c r="I109" s="88">
        <v>1987</v>
      </c>
      <c r="J109" s="88">
        <v>2006</v>
      </c>
    </row>
    <row r="110" spans="1:10" x14ac:dyDescent="0.2">
      <c r="A110" s="85" t="s">
        <v>131</v>
      </c>
      <c r="B110" s="86"/>
      <c r="C110" s="86">
        <v>1</v>
      </c>
      <c r="D110" s="86"/>
      <c r="E110" s="86"/>
      <c r="F110" s="86">
        <v>2</v>
      </c>
      <c r="G110" s="86">
        <v>1</v>
      </c>
      <c r="H110" s="87">
        <v>4</v>
      </c>
      <c r="I110" s="88">
        <v>2004</v>
      </c>
      <c r="J110" s="88">
        <v>2012</v>
      </c>
    </row>
    <row r="111" spans="1:10" x14ac:dyDescent="0.2">
      <c r="A111" s="85" t="s">
        <v>70</v>
      </c>
      <c r="B111" s="86"/>
      <c r="C111" s="86"/>
      <c r="D111" s="86"/>
      <c r="E111" s="86"/>
      <c r="F111" s="86">
        <v>3</v>
      </c>
      <c r="G111" s="86"/>
      <c r="H111" s="87">
        <v>3</v>
      </c>
      <c r="I111" s="88">
        <v>1990</v>
      </c>
      <c r="J111" s="88">
        <v>2010</v>
      </c>
    </row>
    <row r="112" spans="1:10" x14ac:dyDescent="0.2">
      <c r="A112" s="85" t="s">
        <v>132</v>
      </c>
      <c r="B112" s="86"/>
      <c r="C112" s="86">
        <v>1</v>
      </c>
      <c r="D112" s="86"/>
      <c r="E112" s="86"/>
      <c r="F112" s="86">
        <v>2</v>
      </c>
      <c r="G112" s="86"/>
      <c r="H112" s="87">
        <v>3</v>
      </c>
      <c r="I112" s="88">
        <v>2000</v>
      </c>
      <c r="J112" s="88">
        <v>2010</v>
      </c>
    </row>
    <row r="113" spans="1:10" x14ac:dyDescent="0.2">
      <c r="A113" s="85" t="s">
        <v>169</v>
      </c>
      <c r="B113" s="86"/>
      <c r="C113" s="86"/>
      <c r="D113" s="86"/>
      <c r="E113" s="86"/>
      <c r="F113" s="86">
        <v>2</v>
      </c>
      <c r="G113" s="86">
        <v>1</v>
      </c>
      <c r="H113" s="87">
        <v>3</v>
      </c>
      <c r="I113" s="88">
        <v>2000</v>
      </c>
      <c r="J113" s="88">
        <v>2010</v>
      </c>
    </row>
    <row r="114" spans="1:10" x14ac:dyDescent="0.2">
      <c r="A114" s="85" t="s">
        <v>43</v>
      </c>
      <c r="B114" s="86"/>
      <c r="C114" s="86">
        <v>1</v>
      </c>
      <c r="D114" s="86"/>
      <c r="E114" s="86">
        <v>4</v>
      </c>
      <c r="F114" s="86">
        <v>2</v>
      </c>
      <c r="G114" s="86"/>
      <c r="H114" s="87">
        <v>7</v>
      </c>
      <c r="I114" s="88">
        <v>2000</v>
      </c>
      <c r="J114" s="88">
        <v>2006</v>
      </c>
    </row>
    <row r="115" spans="1:10" x14ac:dyDescent="0.2">
      <c r="A115" s="85" t="s">
        <v>133</v>
      </c>
      <c r="B115" s="86">
        <v>4</v>
      </c>
      <c r="C115" s="86">
        <v>12</v>
      </c>
      <c r="D115" s="86"/>
      <c r="E115" s="86">
        <v>9</v>
      </c>
      <c r="F115" s="86"/>
      <c r="G115" s="86"/>
      <c r="H115" s="87">
        <v>25</v>
      </c>
      <c r="I115" s="88">
        <v>1999</v>
      </c>
      <c r="J115" s="88">
        <v>2012</v>
      </c>
    </row>
    <row r="116" spans="1:10" x14ac:dyDescent="0.2">
      <c r="A116" s="85" t="s">
        <v>16</v>
      </c>
      <c r="B116" s="86"/>
      <c r="C116" s="86">
        <v>1</v>
      </c>
      <c r="D116" s="86"/>
      <c r="E116" s="86"/>
      <c r="F116" s="86">
        <v>2</v>
      </c>
      <c r="G116" s="86"/>
      <c r="H116" s="87">
        <v>3</v>
      </c>
      <c r="I116" s="88">
        <v>1991</v>
      </c>
      <c r="J116" s="88">
        <v>2013</v>
      </c>
    </row>
    <row r="117" spans="1:10" x14ac:dyDescent="0.2">
      <c r="A117" s="85" t="s">
        <v>17</v>
      </c>
      <c r="B117" s="86"/>
      <c r="C117" s="86">
        <v>1</v>
      </c>
      <c r="D117" s="86"/>
      <c r="E117" s="86">
        <v>2</v>
      </c>
      <c r="F117" s="86"/>
      <c r="G117" s="86"/>
      <c r="H117" s="87">
        <v>3</v>
      </c>
      <c r="I117" s="88">
        <v>1987</v>
      </c>
      <c r="J117" s="88">
        <v>2012</v>
      </c>
    </row>
    <row r="118" spans="1:10" x14ac:dyDescent="0.2">
      <c r="A118" s="85" t="s">
        <v>134</v>
      </c>
      <c r="B118" s="86">
        <v>2</v>
      </c>
      <c r="C118" s="86">
        <v>3</v>
      </c>
      <c r="D118" s="86"/>
      <c r="E118" s="86"/>
      <c r="F118" s="86">
        <v>3</v>
      </c>
      <c r="G118" s="86"/>
      <c r="H118" s="87">
        <v>8</v>
      </c>
      <c r="I118" s="88">
        <v>1988</v>
      </c>
      <c r="J118" s="88">
        <v>2011</v>
      </c>
    </row>
    <row r="119" spans="1:10" x14ac:dyDescent="0.2">
      <c r="A119" s="85" t="s">
        <v>71</v>
      </c>
      <c r="B119" s="86"/>
      <c r="C119" s="86">
        <v>1</v>
      </c>
      <c r="D119" s="86">
        <v>1</v>
      </c>
      <c r="E119" s="86"/>
      <c r="F119" s="86">
        <v>3</v>
      </c>
      <c r="G119" s="86"/>
      <c r="H119" s="87">
        <v>5</v>
      </c>
      <c r="I119" s="88">
        <v>1987</v>
      </c>
      <c r="J119" s="88">
        <v>2011</v>
      </c>
    </row>
    <row r="120" spans="1:10" x14ac:dyDescent="0.2">
      <c r="A120" s="85" t="s">
        <v>83</v>
      </c>
      <c r="B120" s="86"/>
      <c r="C120" s="86">
        <v>1</v>
      </c>
      <c r="D120" s="86"/>
      <c r="E120" s="86"/>
      <c r="F120" s="86">
        <v>3</v>
      </c>
      <c r="G120" s="86">
        <v>1</v>
      </c>
      <c r="H120" s="87">
        <v>5</v>
      </c>
      <c r="I120" s="88">
        <v>1988</v>
      </c>
      <c r="J120" s="88">
        <v>2012</v>
      </c>
    </row>
    <row r="121" spans="1:10" x14ac:dyDescent="0.2">
      <c r="A121" s="85" t="s">
        <v>45</v>
      </c>
      <c r="B121" s="86"/>
      <c r="C121" s="86">
        <v>3</v>
      </c>
      <c r="D121" s="86"/>
      <c r="E121" s="86"/>
      <c r="F121" s="86"/>
      <c r="G121" s="86"/>
      <c r="H121" s="87">
        <v>3</v>
      </c>
      <c r="I121" s="88">
        <v>1993</v>
      </c>
      <c r="J121" s="88">
        <v>2003</v>
      </c>
    </row>
    <row r="122" spans="1:10" x14ac:dyDescent="0.2">
      <c r="A122" s="85" t="s">
        <v>46</v>
      </c>
      <c r="B122" s="86"/>
      <c r="C122" s="86">
        <v>1</v>
      </c>
      <c r="D122" s="86">
        <v>1</v>
      </c>
      <c r="E122" s="86"/>
      <c r="F122" s="86">
        <v>1</v>
      </c>
      <c r="G122" s="86"/>
      <c r="H122" s="87">
        <v>3</v>
      </c>
      <c r="I122" s="88">
        <v>2000</v>
      </c>
      <c r="J122" s="88">
        <v>2006</v>
      </c>
    </row>
    <row r="123" spans="1:10" x14ac:dyDescent="0.2">
      <c r="A123" s="85" t="s">
        <v>135</v>
      </c>
      <c r="B123" s="86"/>
      <c r="C123" s="86">
        <v>10</v>
      </c>
      <c r="D123" s="86"/>
      <c r="E123" s="86">
        <v>3</v>
      </c>
      <c r="F123" s="86"/>
      <c r="G123" s="86"/>
      <c r="H123" s="87">
        <v>13</v>
      </c>
      <c r="I123" s="88">
        <v>1988</v>
      </c>
      <c r="J123" s="88">
        <v>2011</v>
      </c>
    </row>
    <row r="124" spans="1:10" x14ac:dyDescent="0.2">
      <c r="A124" s="85" t="s">
        <v>47</v>
      </c>
      <c r="B124" s="86"/>
      <c r="C124" s="86">
        <v>1</v>
      </c>
      <c r="D124" s="86"/>
      <c r="E124" s="86"/>
      <c r="F124" s="86">
        <v>3</v>
      </c>
      <c r="G124" s="86"/>
      <c r="H124" s="87">
        <v>4</v>
      </c>
      <c r="I124" s="88">
        <v>2000</v>
      </c>
      <c r="J124" s="88">
        <v>2012</v>
      </c>
    </row>
    <row r="125" spans="1:10" x14ac:dyDescent="0.2">
      <c r="A125" s="85" t="s">
        <v>72</v>
      </c>
      <c r="B125" s="86"/>
      <c r="C125" s="86"/>
      <c r="D125" s="86"/>
      <c r="E125" s="86"/>
      <c r="F125" s="86">
        <v>1</v>
      </c>
      <c r="G125" s="86"/>
      <c r="H125" s="87">
        <v>1</v>
      </c>
      <c r="I125" s="88"/>
      <c r="J125" s="88">
        <v>2012</v>
      </c>
    </row>
    <row r="126" spans="1:10" x14ac:dyDescent="0.2">
      <c r="A126" s="85" t="s">
        <v>157</v>
      </c>
      <c r="B126" s="86"/>
      <c r="C126" s="86">
        <v>2</v>
      </c>
      <c r="D126" s="86"/>
      <c r="E126" s="86"/>
      <c r="F126" s="86">
        <v>2</v>
      </c>
      <c r="G126" s="86"/>
      <c r="H126" s="87">
        <v>4</v>
      </c>
      <c r="I126" s="88">
        <v>1996</v>
      </c>
      <c r="J126" s="88">
        <v>2006</v>
      </c>
    </row>
    <row r="127" spans="1:10" x14ac:dyDescent="0.2">
      <c r="A127" s="85" t="s">
        <v>163</v>
      </c>
      <c r="B127" s="86"/>
      <c r="C127" s="86"/>
      <c r="D127" s="86"/>
      <c r="E127" s="86"/>
      <c r="F127" s="86">
        <v>1</v>
      </c>
      <c r="G127" s="86"/>
      <c r="H127" s="87">
        <v>1</v>
      </c>
      <c r="I127" s="88"/>
      <c r="J127" s="88">
        <v>2007</v>
      </c>
    </row>
    <row r="128" spans="1:10" x14ac:dyDescent="0.2">
      <c r="A128" s="85" t="s">
        <v>73</v>
      </c>
      <c r="B128" s="86"/>
      <c r="C128" s="86"/>
      <c r="D128" s="86"/>
      <c r="E128" s="86"/>
      <c r="F128" s="86">
        <v>1</v>
      </c>
      <c r="G128" s="86"/>
      <c r="H128" s="87">
        <v>1</v>
      </c>
      <c r="I128" s="88"/>
      <c r="J128" s="88">
        <v>2000</v>
      </c>
    </row>
    <row r="129" spans="1:10" x14ac:dyDescent="0.2">
      <c r="A129" s="85" t="s">
        <v>164</v>
      </c>
      <c r="B129" s="86"/>
      <c r="C129" s="86">
        <v>3</v>
      </c>
      <c r="D129" s="86"/>
      <c r="E129" s="86">
        <v>7</v>
      </c>
      <c r="F129" s="86">
        <v>4</v>
      </c>
      <c r="G129" s="86"/>
      <c r="H129" s="87">
        <v>14</v>
      </c>
      <c r="I129" s="88">
        <v>1992</v>
      </c>
      <c r="J129" s="88">
        <v>2014</v>
      </c>
    </row>
    <row r="130" spans="1:10" x14ac:dyDescent="0.2">
      <c r="A130" s="85" t="s">
        <v>85</v>
      </c>
      <c r="B130" s="86"/>
      <c r="C130" s="86">
        <v>3</v>
      </c>
      <c r="D130" s="86"/>
      <c r="E130" s="86"/>
      <c r="F130" s="86">
        <v>1</v>
      </c>
      <c r="G130" s="86">
        <v>1</v>
      </c>
      <c r="H130" s="87">
        <v>5</v>
      </c>
      <c r="I130" s="88">
        <v>1991</v>
      </c>
      <c r="J130" s="88">
        <v>2013</v>
      </c>
    </row>
    <row r="131" spans="1:10" x14ac:dyDescent="0.2">
      <c r="A131" s="85" t="s">
        <v>186</v>
      </c>
      <c r="B131" s="86"/>
      <c r="C131" s="86"/>
      <c r="D131" s="86"/>
      <c r="E131" s="86"/>
      <c r="F131" s="86">
        <v>2</v>
      </c>
      <c r="G131" s="86"/>
      <c r="H131" s="87">
        <v>2</v>
      </c>
      <c r="I131" s="88">
        <v>1996</v>
      </c>
      <c r="J131" s="88">
        <v>2000</v>
      </c>
    </row>
    <row r="132" spans="1:10" x14ac:dyDescent="0.2">
      <c r="A132" s="85" t="s">
        <v>136</v>
      </c>
      <c r="B132" s="86"/>
      <c r="C132" s="86">
        <v>6</v>
      </c>
      <c r="D132" s="86"/>
      <c r="E132" s="86"/>
      <c r="F132" s="86">
        <v>2</v>
      </c>
      <c r="G132" s="86"/>
      <c r="H132" s="87">
        <v>8</v>
      </c>
      <c r="I132" s="88">
        <v>1992</v>
      </c>
      <c r="J132" s="88">
        <v>2013</v>
      </c>
    </row>
    <row r="133" spans="1:10" x14ac:dyDescent="0.2">
      <c r="A133" s="85" t="s">
        <v>167</v>
      </c>
      <c r="B133" s="86"/>
      <c r="C133" s="86">
        <v>5</v>
      </c>
      <c r="D133" s="86"/>
      <c r="E133" s="86"/>
      <c r="F133" s="86">
        <v>1</v>
      </c>
      <c r="G133" s="86"/>
      <c r="H133" s="87">
        <v>6</v>
      </c>
      <c r="I133" s="88">
        <v>1988</v>
      </c>
      <c r="J133" s="88">
        <v>2010</v>
      </c>
    </row>
    <row r="134" spans="1:10" ht="32" x14ac:dyDescent="0.2">
      <c r="A134" s="85" t="s">
        <v>475</v>
      </c>
      <c r="B134" s="86"/>
      <c r="C134" s="86"/>
      <c r="D134" s="86"/>
      <c r="E134" s="86"/>
      <c r="F134" s="86">
        <v>1</v>
      </c>
      <c r="G134" s="86"/>
      <c r="H134" s="87">
        <v>1</v>
      </c>
      <c r="I134" s="88"/>
      <c r="J134" s="88">
        <v>2014</v>
      </c>
    </row>
    <row r="135" spans="1:10" x14ac:dyDescent="0.2">
      <c r="A135" s="85" t="s">
        <v>476</v>
      </c>
      <c r="B135" s="86"/>
      <c r="C135" s="86"/>
      <c r="D135" s="86"/>
      <c r="E135" s="86"/>
      <c r="F135" s="86">
        <v>1</v>
      </c>
      <c r="G135" s="86"/>
      <c r="H135" s="87">
        <v>1</v>
      </c>
      <c r="I135" s="88"/>
      <c r="J135" s="88">
        <v>2014</v>
      </c>
    </row>
    <row r="136" spans="1:10" x14ac:dyDescent="0.2">
      <c r="A136" s="85" t="s">
        <v>472</v>
      </c>
      <c r="B136" s="86">
        <v>42</v>
      </c>
      <c r="C136" s="86">
        <v>327</v>
      </c>
      <c r="D136" s="86">
        <v>29</v>
      </c>
      <c r="E136" s="86">
        <v>126</v>
      </c>
      <c r="F136" s="86">
        <v>197</v>
      </c>
      <c r="G136" s="86">
        <v>10</v>
      </c>
      <c r="H136" s="87">
        <v>731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C8"/>
  <sheetViews>
    <sheetView showGridLines="0" workbookViewId="0">
      <selection activeCell="A8" sqref="A8"/>
    </sheetView>
  </sheetViews>
  <sheetFormatPr baseColWidth="10" defaultColWidth="11" defaultRowHeight="16" x14ac:dyDescent="0.2"/>
  <cols>
    <col min="1" max="1" width="15.1640625" customWidth="1"/>
    <col min="2" max="2" width="15.5" customWidth="1"/>
    <col min="3" max="3" width="11.1640625" customWidth="1"/>
  </cols>
  <sheetData>
    <row r="1" spans="1:3" ht="24" x14ac:dyDescent="0.3">
      <c r="A1" s="4" t="s">
        <v>137</v>
      </c>
      <c r="B1" s="4"/>
      <c r="C1" s="3"/>
    </row>
    <row r="2" spans="1:3" x14ac:dyDescent="0.2">
      <c r="A2" s="3" t="s">
        <v>6</v>
      </c>
      <c r="B2" t="s">
        <v>146</v>
      </c>
      <c r="C2" s="3" t="s">
        <v>2</v>
      </c>
    </row>
    <row r="3" spans="1:3" x14ac:dyDescent="0.2">
      <c r="A3" s="5" t="s">
        <v>139</v>
      </c>
      <c r="B3" s="6" t="s">
        <v>141</v>
      </c>
    </row>
    <row r="4" spans="1:3" x14ac:dyDescent="0.2">
      <c r="A4" s="7"/>
      <c r="B4" s="8" t="s">
        <v>144</v>
      </c>
    </row>
    <row r="5" spans="1:3" x14ac:dyDescent="0.2">
      <c r="A5" s="9"/>
      <c r="B5" s="19" t="s">
        <v>140</v>
      </c>
    </row>
    <row r="6" spans="1:3" x14ac:dyDescent="0.2">
      <c r="A6" s="17"/>
      <c r="B6" s="17"/>
    </row>
    <row r="7" spans="1:3" ht="32" x14ac:dyDescent="0.2">
      <c r="A7" s="15" t="s">
        <v>145</v>
      </c>
      <c r="B7" s="15" t="s">
        <v>150</v>
      </c>
    </row>
    <row r="8" spans="1:3" x14ac:dyDescent="0.2">
      <c r="A8" s="18">
        <f>COUNTIF('IS Data'!$D$8:$D$1007,"yes")</f>
        <v>827</v>
      </c>
      <c r="B8" s="18">
        <f>'IS Analysis'!E38</f>
        <v>141</v>
      </c>
    </row>
  </sheetData>
  <phoneticPr fontId="12" type="noConversion"/>
  <pageMargins left="0.75" right="0.75" top="1" bottom="1" header="0.5" footer="0.5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E39"/>
  <sheetViews>
    <sheetView workbookViewId="0">
      <pane ySplit="7" topLeftCell="A8" activePane="bottomLeft" state="frozen"/>
      <selection activeCell="B21" sqref="B21"/>
      <selection pane="bottomLeft" activeCell="A15" sqref="A15"/>
    </sheetView>
  </sheetViews>
  <sheetFormatPr baseColWidth="10" defaultColWidth="11" defaultRowHeight="16" x14ac:dyDescent="0.2"/>
  <cols>
    <col min="2" max="2" width="18.6640625" customWidth="1"/>
    <col min="4" max="4" width="16.1640625" customWidth="1"/>
    <col min="5" max="5" width="15.33203125" customWidth="1"/>
  </cols>
  <sheetData>
    <row r="1" spans="1:5" ht="24" x14ac:dyDescent="0.3">
      <c r="A1" s="2" t="s">
        <v>143</v>
      </c>
    </row>
    <row r="2" spans="1:5" x14ac:dyDescent="0.2">
      <c r="A2" s="3" t="s">
        <v>6</v>
      </c>
      <c r="B2" t="s">
        <v>146</v>
      </c>
      <c r="C2" s="3" t="s">
        <v>2</v>
      </c>
    </row>
    <row r="3" spans="1:5" x14ac:dyDescent="0.2">
      <c r="A3" s="10" t="s">
        <v>139</v>
      </c>
      <c r="B3" s="11" t="s">
        <v>141</v>
      </c>
    </row>
    <row r="4" spans="1:5" x14ac:dyDescent="0.2">
      <c r="A4" s="12"/>
      <c r="B4" s="8" t="s">
        <v>144</v>
      </c>
    </row>
    <row r="5" spans="1:5" x14ac:dyDescent="0.2">
      <c r="A5" s="13"/>
      <c r="B5" s="20" t="s">
        <v>140</v>
      </c>
    </row>
    <row r="6" spans="1:5" x14ac:dyDescent="0.2">
      <c r="A6" s="21"/>
      <c r="B6" s="21"/>
    </row>
    <row r="7" spans="1:5" ht="48" x14ac:dyDescent="0.2">
      <c r="A7" s="15" t="s">
        <v>1</v>
      </c>
      <c r="B7" s="15" t="s">
        <v>318</v>
      </c>
      <c r="C7" s="15" t="s">
        <v>318</v>
      </c>
      <c r="D7" s="15" t="s">
        <v>320</v>
      </c>
      <c r="E7" s="15" t="s">
        <v>319</v>
      </c>
    </row>
    <row r="8" spans="1:5" x14ac:dyDescent="0.2">
      <c r="A8" s="22">
        <v>1980</v>
      </c>
      <c r="B8">
        <f>COUNTIFS('IS Data'!$C$8:$C$1002,'IS Analysis'!A8,'IS Data'!$D$8:$D$1002,"yes")</f>
        <v>4</v>
      </c>
      <c r="C8">
        <f>B8</f>
        <v>4</v>
      </c>
      <c r="D8">
        <f>COUNTIFS('IS Data'!$G$8:$G$1002,"1",'IS Data'!$C$8:$C$1002,'IS Analysis'!A8)</f>
        <v>4</v>
      </c>
      <c r="E8">
        <f>D8</f>
        <v>4</v>
      </c>
    </row>
    <row r="9" spans="1:5" x14ac:dyDescent="0.2">
      <c r="A9" s="22">
        <v>1981</v>
      </c>
      <c r="B9">
        <f>COUNTIFS('IS Data'!$C$8:$C$1002,'IS Analysis'!A9,'IS Data'!$D$8:$D$1002,"yes")</f>
        <v>6</v>
      </c>
      <c r="C9">
        <f>B9+C8</f>
        <v>10</v>
      </c>
      <c r="D9">
        <f>COUNTIFS('IS Data'!$G$8:$G$1002,"1",'IS Data'!$C$8:$C$1002,'IS Analysis'!A9)</f>
        <v>5</v>
      </c>
      <c r="E9">
        <f>D9+E8</f>
        <v>9</v>
      </c>
    </row>
    <row r="10" spans="1:5" x14ac:dyDescent="0.2">
      <c r="A10" s="22">
        <v>1982</v>
      </c>
      <c r="B10">
        <f>COUNTIFS('IS Data'!$C$8:$C$1002,'IS Analysis'!A10,'IS Data'!$D$8:$D$1002,"yes")</f>
        <v>2</v>
      </c>
      <c r="C10">
        <f>B10+C9</f>
        <v>12</v>
      </c>
      <c r="D10">
        <f>COUNTIFS('IS Data'!$G$8:$G$1002,"1",'IS Data'!$C$8:$C$1002,'IS Analysis'!A10)</f>
        <v>1</v>
      </c>
      <c r="E10">
        <f t="shared" ref="E10:E38" si="0">D10+E9</f>
        <v>10</v>
      </c>
    </row>
    <row r="11" spans="1:5" x14ac:dyDescent="0.2">
      <c r="A11" s="22">
        <v>1983</v>
      </c>
      <c r="B11">
        <f>COUNTIFS('IS Data'!$C$8:$C$1002,'IS Analysis'!A11,'IS Data'!$D$8:$D$1002,"yes")</f>
        <v>2</v>
      </c>
      <c r="C11">
        <f>B11+C10</f>
        <v>14</v>
      </c>
      <c r="D11">
        <f>COUNTIFS('IS Data'!$G$8:$G$1002,"1",'IS Data'!$C$8:$C$1002,'IS Analysis'!A11)</f>
        <v>1</v>
      </c>
      <c r="E11">
        <f t="shared" si="0"/>
        <v>11</v>
      </c>
    </row>
    <row r="12" spans="1:5" x14ac:dyDescent="0.2">
      <c r="A12" s="22">
        <v>1984</v>
      </c>
      <c r="B12">
        <f>COUNTIFS('IS Data'!$C$8:$C$1002,'IS Analysis'!A12,'IS Data'!$D$8:$D$1002,"yes")</f>
        <v>6</v>
      </c>
      <c r="C12">
        <f t="shared" ref="C12:C37" si="1">B12+C11</f>
        <v>20</v>
      </c>
      <c r="D12">
        <f>COUNTIFS('IS Data'!$G$8:$G$1002,"1",'IS Data'!$C$8:$C$1002,'IS Analysis'!A12)</f>
        <v>3</v>
      </c>
      <c r="E12">
        <f t="shared" si="0"/>
        <v>14</v>
      </c>
    </row>
    <row r="13" spans="1:5" x14ac:dyDescent="0.2">
      <c r="A13" s="22">
        <v>1985</v>
      </c>
      <c r="B13">
        <f>COUNTIFS('IS Data'!$C$8:$C$1002,'IS Analysis'!A13,'IS Data'!$D$8:$D$1002,"yes")</f>
        <v>10</v>
      </c>
      <c r="C13">
        <f t="shared" si="1"/>
        <v>30</v>
      </c>
      <c r="D13">
        <f>COUNTIFS('IS Data'!$G$8:$G$1002,"1",'IS Data'!$C$8:$C$1002,'IS Analysis'!A13)</f>
        <v>8</v>
      </c>
      <c r="E13">
        <f t="shared" si="0"/>
        <v>22</v>
      </c>
    </row>
    <row r="14" spans="1:5" x14ac:dyDescent="0.2">
      <c r="A14" s="22">
        <v>1986</v>
      </c>
      <c r="B14">
        <f>COUNTIFS('IS Data'!$C$8:$C$1002,'IS Analysis'!A14,'IS Data'!$D$8:$D$1002,"yes")</f>
        <v>11</v>
      </c>
      <c r="C14">
        <f t="shared" si="1"/>
        <v>41</v>
      </c>
      <c r="D14">
        <f>COUNTIFS('IS Data'!$G$8:$G$1002,"1",'IS Data'!$C$8:$C$1002,'IS Analysis'!A14)</f>
        <v>7</v>
      </c>
      <c r="E14">
        <f t="shared" si="0"/>
        <v>29</v>
      </c>
    </row>
    <row r="15" spans="1:5" x14ac:dyDescent="0.2">
      <c r="A15" s="22">
        <v>1987</v>
      </c>
      <c r="B15">
        <f>COUNTIFS('IS Data'!$C$8:$C$1002,'IS Analysis'!A15,'IS Data'!$D$8:$D$1002,"yes")</f>
        <v>18</v>
      </c>
      <c r="C15">
        <f t="shared" si="1"/>
        <v>59</v>
      </c>
      <c r="D15">
        <f>COUNTIFS('IS Data'!$G$8:$G$1002,"1",'IS Data'!$C$8:$C$1002,'IS Analysis'!A15)</f>
        <v>10</v>
      </c>
      <c r="E15">
        <f t="shared" si="0"/>
        <v>39</v>
      </c>
    </row>
    <row r="16" spans="1:5" x14ac:dyDescent="0.2">
      <c r="A16" s="22">
        <v>1988</v>
      </c>
      <c r="B16">
        <f>COUNTIFS('IS Data'!$C$8:$C$1002,'IS Analysis'!A16,'IS Data'!$D$8:$D$1002,"yes")</f>
        <v>23</v>
      </c>
      <c r="C16">
        <f t="shared" si="1"/>
        <v>82</v>
      </c>
      <c r="D16">
        <f>COUNTIFS('IS Data'!$G$8:$G$1002,"1",'IS Data'!$C$8:$C$1002,'IS Analysis'!A16)</f>
        <v>17</v>
      </c>
      <c r="E16">
        <f t="shared" si="0"/>
        <v>56</v>
      </c>
    </row>
    <row r="17" spans="1:5" x14ac:dyDescent="0.2">
      <c r="A17" s="22">
        <v>1989</v>
      </c>
      <c r="B17">
        <f>COUNTIFS('IS Data'!$C$8:$C$1002,'IS Analysis'!A17,'IS Data'!$D$8:$D$1002,"yes")</f>
        <v>19</v>
      </c>
      <c r="C17">
        <f t="shared" si="1"/>
        <v>101</v>
      </c>
      <c r="D17">
        <f>COUNTIFS('IS Data'!$G$8:$G$1002,"1",'IS Data'!$C$8:$C$1002,'IS Analysis'!A17)</f>
        <v>5</v>
      </c>
      <c r="E17">
        <f t="shared" si="0"/>
        <v>61</v>
      </c>
    </row>
    <row r="18" spans="1:5" x14ac:dyDescent="0.2">
      <c r="A18" s="22">
        <v>1990</v>
      </c>
      <c r="B18">
        <f>COUNTIFS('IS Data'!$C$8:$C$1002,'IS Analysis'!A18,'IS Data'!$D$8:$D$1002,"yes")</f>
        <v>12</v>
      </c>
      <c r="C18">
        <f t="shared" si="1"/>
        <v>113</v>
      </c>
      <c r="D18">
        <f>COUNTIFS('IS Data'!$G$8:$G$1002,"1",'IS Data'!$C$8:$C$1002,'IS Analysis'!A18)</f>
        <v>2</v>
      </c>
      <c r="E18">
        <f t="shared" si="0"/>
        <v>63</v>
      </c>
    </row>
    <row r="19" spans="1:5" x14ac:dyDescent="0.2">
      <c r="A19" s="22">
        <v>1991</v>
      </c>
      <c r="B19">
        <f>COUNTIFS('IS Data'!$C$8:$C$1002,'IS Analysis'!A19,'IS Data'!$D$8:$D$1002,"yes")</f>
        <v>16</v>
      </c>
      <c r="C19">
        <f t="shared" si="1"/>
        <v>129</v>
      </c>
      <c r="D19">
        <f>COUNTIFS('IS Data'!$G$8:$G$1002,"1",'IS Data'!$C$8:$C$1002,'IS Analysis'!A19)</f>
        <v>6</v>
      </c>
      <c r="E19">
        <f t="shared" si="0"/>
        <v>69</v>
      </c>
    </row>
    <row r="20" spans="1:5" x14ac:dyDescent="0.2">
      <c r="A20" s="22">
        <v>1992</v>
      </c>
      <c r="B20">
        <f>COUNTIFS('IS Data'!$C$8:$C$1002,'IS Analysis'!A20,'IS Data'!$D$8:$D$1002,"yes")</f>
        <v>31</v>
      </c>
      <c r="C20">
        <f t="shared" si="1"/>
        <v>160</v>
      </c>
      <c r="D20">
        <f>COUNTIFS('IS Data'!$G$8:$G$1002,"1",'IS Data'!$C$8:$C$1002,'IS Analysis'!A20)</f>
        <v>6</v>
      </c>
      <c r="E20">
        <f t="shared" si="0"/>
        <v>75</v>
      </c>
    </row>
    <row r="21" spans="1:5" x14ac:dyDescent="0.2">
      <c r="A21" s="22">
        <v>1993</v>
      </c>
      <c r="B21">
        <f>COUNTIFS('IS Data'!$C$8:$C$1002,'IS Analysis'!A21,'IS Data'!$D$8:$D$1002,"yes")</f>
        <v>32</v>
      </c>
      <c r="C21">
        <f t="shared" si="1"/>
        <v>192</v>
      </c>
      <c r="D21">
        <f>COUNTIFS('IS Data'!$G$8:$G$1002,"1",'IS Data'!$C$8:$C$1002,'IS Analysis'!A21)</f>
        <v>6</v>
      </c>
      <c r="E21">
        <f t="shared" si="0"/>
        <v>81</v>
      </c>
    </row>
    <row r="22" spans="1:5" x14ac:dyDescent="0.2">
      <c r="A22" s="22">
        <v>1994</v>
      </c>
      <c r="B22">
        <f>COUNTIFS('IS Data'!$C$8:$C$1002,'IS Analysis'!A22,'IS Data'!$D$8:$D$1002,"yes")</f>
        <v>25</v>
      </c>
      <c r="C22">
        <f t="shared" si="1"/>
        <v>217</v>
      </c>
      <c r="D22">
        <f>COUNTIFS('IS Data'!$G$8:$G$1002,"1",'IS Data'!$C$8:$C$1002,'IS Analysis'!A22)</f>
        <v>3</v>
      </c>
      <c r="E22">
        <f t="shared" si="0"/>
        <v>84</v>
      </c>
    </row>
    <row r="23" spans="1:5" x14ac:dyDescent="0.2">
      <c r="A23" s="22">
        <v>1995</v>
      </c>
      <c r="B23">
        <f>COUNTIFS('IS Data'!$C$8:$C$1002,'IS Analysis'!A23,'IS Data'!$D$8:$D$1002,"yes")</f>
        <v>26</v>
      </c>
      <c r="C23">
        <f t="shared" si="1"/>
        <v>243</v>
      </c>
      <c r="D23">
        <f>COUNTIFS('IS Data'!$G$8:$G$1002,"1",'IS Data'!$C$8:$C$1002,'IS Analysis'!A23)</f>
        <v>3</v>
      </c>
      <c r="E23">
        <f t="shared" si="0"/>
        <v>87</v>
      </c>
    </row>
    <row r="24" spans="1:5" x14ac:dyDescent="0.2">
      <c r="A24" s="22">
        <v>1996</v>
      </c>
      <c r="B24">
        <f>COUNTIFS('IS Data'!$C$8:$C$1002,'IS Analysis'!A24,'IS Data'!$D$8:$D$1002,"yes")</f>
        <v>36</v>
      </c>
      <c r="C24">
        <f t="shared" si="1"/>
        <v>279</v>
      </c>
      <c r="D24">
        <f>COUNTIFS('IS Data'!$G$8:$G$1002,"1",'IS Data'!$C$8:$C$1002,'IS Analysis'!A24)</f>
        <v>5</v>
      </c>
      <c r="E24">
        <f t="shared" si="0"/>
        <v>92</v>
      </c>
    </row>
    <row r="25" spans="1:5" x14ac:dyDescent="0.2">
      <c r="A25" s="22">
        <v>1997</v>
      </c>
      <c r="B25">
        <f>COUNTIFS('IS Data'!$C$8:$C$1002,'IS Analysis'!A25,'IS Data'!$D$8:$D$1002,"yes")</f>
        <v>23</v>
      </c>
      <c r="C25">
        <f t="shared" si="1"/>
        <v>302</v>
      </c>
      <c r="D25">
        <f>COUNTIFS('IS Data'!$G$8:$G$1002,"1",'IS Data'!$C$8:$C$1002,'IS Analysis'!A25)</f>
        <v>1</v>
      </c>
      <c r="E25">
        <f t="shared" si="0"/>
        <v>93</v>
      </c>
    </row>
    <row r="26" spans="1:5" x14ac:dyDescent="0.2">
      <c r="A26" s="22">
        <v>1998</v>
      </c>
      <c r="B26">
        <f>COUNTIFS('IS Data'!$C$8:$C$1002,'IS Analysis'!A26,'IS Data'!$D$8:$D$1002,"yes")</f>
        <v>44</v>
      </c>
      <c r="C26">
        <f t="shared" si="1"/>
        <v>346</v>
      </c>
      <c r="D26">
        <f>COUNTIFS('IS Data'!$G$8:$G$1002,"1",'IS Data'!$C$8:$C$1002,'IS Analysis'!A26)</f>
        <v>5</v>
      </c>
      <c r="E26">
        <f t="shared" si="0"/>
        <v>98</v>
      </c>
    </row>
    <row r="27" spans="1:5" x14ac:dyDescent="0.2">
      <c r="A27" s="22">
        <v>1999</v>
      </c>
      <c r="B27">
        <f>COUNTIFS('IS Data'!$C$8:$C$1002,'IS Analysis'!A27,'IS Data'!$D$8:$D$1002,"yes")</f>
        <v>30</v>
      </c>
      <c r="C27">
        <f t="shared" si="1"/>
        <v>376</v>
      </c>
      <c r="D27">
        <f>COUNTIFS('IS Data'!$G$8:$G$1002,"1",'IS Data'!$C$8:$C$1002,'IS Analysis'!A27)</f>
        <v>2</v>
      </c>
      <c r="E27">
        <f t="shared" si="0"/>
        <v>100</v>
      </c>
    </row>
    <row r="28" spans="1:5" x14ac:dyDescent="0.2">
      <c r="A28" s="22">
        <v>2000</v>
      </c>
      <c r="B28">
        <f>COUNTIFS('IS Data'!$C$8:$C$1002,'IS Analysis'!A28,'IS Data'!$D$8:$D$1002,"yes")</f>
        <v>33</v>
      </c>
      <c r="C28">
        <f t="shared" si="1"/>
        <v>409</v>
      </c>
      <c r="D28">
        <f>COUNTIFS('IS Data'!$G$8:$G$1002,"1",'IS Data'!$C$8:$C$1002,'IS Analysis'!A28)</f>
        <v>3</v>
      </c>
      <c r="E28">
        <f t="shared" si="0"/>
        <v>103</v>
      </c>
    </row>
    <row r="29" spans="1:5" x14ac:dyDescent="0.2">
      <c r="A29" s="22">
        <v>2001</v>
      </c>
      <c r="B29">
        <f>COUNTIFS('IS Data'!$C$8:$C$1002,'IS Analysis'!A29,'IS Data'!$D$8:$D$1002,"yes")</f>
        <v>40</v>
      </c>
      <c r="C29">
        <f t="shared" si="1"/>
        <v>449</v>
      </c>
      <c r="D29">
        <f>COUNTIFS('IS Data'!$G$8:$G$1002,"1",'IS Data'!$C$8:$C$1002,'IS Analysis'!A29)</f>
        <v>5</v>
      </c>
      <c r="E29">
        <f t="shared" si="0"/>
        <v>108</v>
      </c>
    </row>
    <row r="30" spans="1:5" x14ac:dyDescent="0.2">
      <c r="A30" s="22">
        <v>2002</v>
      </c>
      <c r="B30">
        <f>COUNTIFS('IS Data'!$C$8:$C$1002,'IS Analysis'!A30,'IS Data'!$D$8:$D$1002,"yes")</f>
        <v>47</v>
      </c>
      <c r="C30">
        <f t="shared" si="1"/>
        <v>496</v>
      </c>
      <c r="D30">
        <f>COUNTIFS('IS Data'!$G$8:$G$1002,"1",'IS Data'!$C$8:$C$1002,'IS Analysis'!A30)</f>
        <v>19</v>
      </c>
      <c r="E30">
        <f t="shared" si="0"/>
        <v>127</v>
      </c>
    </row>
    <row r="31" spans="1:5" x14ac:dyDescent="0.2">
      <c r="A31" s="22">
        <v>2003</v>
      </c>
      <c r="B31">
        <f>COUNTIFS('IS Data'!$C$8:$C$1002,'IS Analysis'!A31,'IS Data'!$D$8:$D$1002,"yes")</f>
        <v>44</v>
      </c>
      <c r="C31">
        <f t="shared" si="1"/>
        <v>540</v>
      </c>
      <c r="D31">
        <f>COUNTIFS('IS Data'!$G$8:$G$1002,"1",'IS Data'!$C$8:$C$1002,'IS Analysis'!A31)</f>
        <v>3</v>
      </c>
      <c r="E31">
        <f t="shared" si="0"/>
        <v>130</v>
      </c>
    </row>
    <row r="32" spans="1:5" x14ac:dyDescent="0.2">
      <c r="A32" s="22">
        <v>2004</v>
      </c>
      <c r="B32">
        <f>COUNTIFS('IS Data'!$C$8:$C$1002,'IS Analysis'!A32,'IS Data'!$D$8:$D$1002,"yes")</f>
        <v>48</v>
      </c>
      <c r="C32">
        <f t="shared" si="1"/>
        <v>588</v>
      </c>
      <c r="D32">
        <f>COUNTIFS('IS Data'!$G$8:$G$1002,"1",'IS Data'!$C$8:$C$1002,'IS Analysis'!A32)</f>
        <v>2</v>
      </c>
      <c r="E32">
        <f t="shared" si="0"/>
        <v>132</v>
      </c>
    </row>
    <row r="33" spans="1:5" x14ac:dyDescent="0.2">
      <c r="A33" s="22">
        <v>2005</v>
      </c>
      <c r="B33">
        <f>COUNTIFS('IS Data'!$C$8:$C$1002,'IS Analysis'!A33,'IS Data'!$D$8:$D$1002,"yes")</f>
        <v>48</v>
      </c>
      <c r="C33">
        <f t="shared" si="1"/>
        <v>636</v>
      </c>
      <c r="D33">
        <f>COUNTIFS('IS Data'!$G$8:$G$1002,"1",'IS Data'!$C$8:$C$1002,'IS Analysis'!A33)</f>
        <v>4</v>
      </c>
      <c r="E33">
        <f t="shared" si="0"/>
        <v>136</v>
      </c>
    </row>
    <row r="34" spans="1:5" x14ac:dyDescent="0.2">
      <c r="A34" s="22">
        <v>2006</v>
      </c>
      <c r="B34">
        <f>COUNTIFS('IS Data'!$C$8:$C$1002,'IS Analysis'!A34,'IS Data'!$D$8:$D$1002,"yes")</f>
        <v>47</v>
      </c>
      <c r="C34">
        <f t="shared" si="1"/>
        <v>683</v>
      </c>
      <c r="D34">
        <f>COUNTIFS('IS Data'!$G$8:$G$1002,"1",'IS Data'!$C$8:$C$1002,'IS Analysis'!A34)</f>
        <v>2</v>
      </c>
      <c r="E34">
        <f t="shared" si="0"/>
        <v>138</v>
      </c>
    </row>
    <row r="35" spans="1:5" x14ac:dyDescent="0.2">
      <c r="A35" s="22">
        <v>2007</v>
      </c>
      <c r="B35">
        <f>COUNTIFS('IS Data'!$C$8:$C$1002,'IS Analysis'!A35,'IS Data'!$D$8:$D$1002,"yes")</f>
        <v>44</v>
      </c>
      <c r="C35">
        <f t="shared" si="1"/>
        <v>727</v>
      </c>
      <c r="D35">
        <f>COUNTIFS('IS Data'!$G$8:$G$1002,"1",'IS Data'!$C$8:$C$1002,'IS Analysis'!A35)</f>
        <v>2</v>
      </c>
      <c r="E35">
        <f t="shared" si="0"/>
        <v>140</v>
      </c>
    </row>
    <row r="36" spans="1:5" x14ac:dyDescent="0.2">
      <c r="A36" s="22">
        <v>2008</v>
      </c>
      <c r="B36">
        <f>COUNTIFS('IS Data'!$C$8:$C$1002,'IS Analysis'!A36,'IS Data'!$D$8:$D$1002,"yes")</f>
        <v>47</v>
      </c>
      <c r="C36">
        <f t="shared" si="1"/>
        <v>774</v>
      </c>
      <c r="D36">
        <f>COUNTIFS('IS Data'!$G$8:$G$1002,"1",'IS Data'!$C$8:$C$1002,'IS Analysis'!A36)</f>
        <v>0</v>
      </c>
      <c r="E36">
        <f t="shared" si="0"/>
        <v>140</v>
      </c>
    </row>
    <row r="37" spans="1:5" x14ac:dyDescent="0.2">
      <c r="A37" s="22">
        <v>2009</v>
      </c>
      <c r="B37">
        <f>COUNTIFS('IS Data'!$C$8:$C$1002,'IS Analysis'!A37,'IS Data'!$D$8:$D$1002,"yes")</f>
        <v>34</v>
      </c>
      <c r="C37">
        <f t="shared" si="1"/>
        <v>808</v>
      </c>
      <c r="D37">
        <f>COUNTIFS('IS Data'!$G$8:$G$1002,"1",'IS Data'!$C$8:$C$1002,'IS Analysis'!A37)</f>
        <v>1</v>
      </c>
      <c r="E37">
        <f t="shared" si="0"/>
        <v>141</v>
      </c>
    </row>
    <row r="38" spans="1:5" x14ac:dyDescent="0.2">
      <c r="A38" s="22">
        <v>2010</v>
      </c>
      <c r="B38">
        <f>COUNTIFS('IS Data'!$C$8:$C$1002,'IS Analysis'!A38,'IS Data'!$D$8:$D$1002,"yes")</f>
        <v>19</v>
      </c>
      <c r="C38" s="18">
        <f>B38+C37</f>
        <v>827</v>
      </c>
      <c r="D38">
        <f>COUNTIFS('IS Data'!$G$8:$G$1002,"1",'IS Data'!$C$8:$C$1002,'IS Analysis'!A38)</f>
        <v>0</v>
      </c>
      <c r="E38" s="18">
        <f t="shared" si="0"/>
        <v>141</v>
      </c>
    </row>
    <row r="39" spans="1:5" x14ac:dyDescent="0.2">
      <c r="C39" s="16"/>
      <c r="E39" s="16" t="b">
        <f>E38='IS Data'!G835</f>
        <v>1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H1011"/>
  <sheetViews>
    <sheetView zoomScale="125" zoomScaleNormal="125" zoomScalePageLayoutView="125" workbookViewId="0">
      <pane ySplit="7" topLeftCell="A8" activePane="bottomLeft" state="frozen"/>
      <selection activeCell="B21" sqref="B21"/>
      <selection pane="bottomLeft" activeCell="A8" sqref="A8"/>
    </sheetView>
  </sheetViews>
  <sheetFormatPr baseColWidth="10" defaultColWidth="11" defaultRowHeight="16" x14ac:dyDescent="0.2"/>
  <cols>
    <col min="1" max="1" width="27.83203125" bestFit="1" customWidth="1"/>
    <col min="2" max="2" width="20.33203125" customWidth="1"/>
    <col min="3" max="3" width="7.6640625" bestFit="1" customWidth="1"/>
    <col min="4" max="4" width="11" bestFit="1" customWidth="1"/>
    <col min="5" max="5" width="12.5" customWidth="1"/>
    <col min="6" max="6" width="9.6640625" bestFit="1" customWidth="1"/>
    <col min="7" max="7" width="16.1640625" customWidth="1"/>
    <col min="8" max="8" width="20.83203125" bestFit="1" customWidth="1"/>
  </cols>
  <sheetData>
    <row r="1" spans="1:8" ht="24" x14ac:dyDescent="0.3">
      <c r="A1" s="2" t="s">
        <v>185</v>
      </c>
    </row>
    <row r="2" spans="1:8" x14ac:dyDescent="0.2">
      <c r="A2" s="3" t="s">
        <v>6</v>
      </c>
      <c r="B2" t="s">
        <v>146</v>
      </c>
      <c r="C2" s="3" t="s">
        <v>2</v>
      </c>
    </row>
    <row r="3" spans="1:8" x14ac:dyDescent="0.2">
      <c r="A3" s="10" t="s">
        <v>139</v>
      </c>
      <c r="B3" s="11" t="s">
        <v>141</v>
      </c>
    </row>
    <row r="4" spans="1:8" x14ac:dyDescent="0.2">
      <c r="A4" s="12"/>
      <c r="B4" s="8" t="s">
        <v>144</v>
      </c>
    </row>
    <row r="5" spans="1:8" x14ac:dyDescent="0.2">
      <c r="A5" s="13"/>
      <c r="B5" s="20" t="s">
        <v>140</v>
      </c>
    </row>
    <row r="6" spans="1:8" x14ac:dyDescent="0.2">
      <c r="A6" s="21" t="s">
        <v>249</v>
      </c>
      <c r="B6" s="29">
        <v>825</v>
      </c>
      <c r="H6" s="3"/>
    </row>
    <row r="7" spans="1:8" s="1" customFormat="1" ht="48" x14ac:dyDescent="0.2">
      <c r="A7" s="15" t="s">
        <v>3</v>
      </c>
      <c r="B7" s="15" t="s">
        <v>0</v>
      </c>
      <c r="C7" s="15" t="s">
        <v>1</v>
      </c>
      <c r="D7" s="15" t="s">
        <v>8</v>
      </c>
      <c r="E7" s="15" t="s">
        <v>149</v>
      </c>
      <c r="F7" s="15" t="s">
        <v>142</v>
      </c>
      <c r="G7" s="15" t="s">
        <v>147</v>
      </c>
      <c r="H7" s="24" t="s">
        <v>148</v>
      </c>
    </row>
    <row r="8" spans="1:8" x14ac:dyDescent="0.2">
      <c r="A8" t="s">
        <v>4</v>
      </c>
      <c r="B8" t="s">
        <v>7</v>
      </c>
      <c r="C8" s="14">
        <v>1980</v>
      </c>
      <c r="D8" t="str">
        <f t="shared" ref="D8:D71" si="0">IF(F8="LSMS","no","yes")</f>
        <v>yes</v>
      </c>
      <c r="E8">
        <f>COUNTIF($B$8:$B$1006,"China")</f>
        <v>17</v>
      </c>
      <c r="F8" s="23"/>
      <c r="G8" s="3">
        <f t="shared" ref="G8:G71" si="1">IF(H8="","",1)</f>
        <v>1</v>
      </c>
      <c r="H8" s="14" t="s">
        <v>7</v>
      </c>
    </row>
    <row r="9" spans="1:8" x14ac:dyDescent="0.2">
      <c r="A9" t="s">
        <v>4</v>
      </c>
      <c r="B9" t="s">
        <v>10</v>
      </c>
      <c r="C9" s="14">
        <v>1980</v>
      </c>
      <c r="D9" t="str">
        <f t="shared" si="0"/>
        <v>yes</v>
      </c>
      <c r="E9">
        <f>COUNTIF($B$8:$B$1006,"Indonesia")</f>
        <v>14</v>
      </c>
      <c r="F9" s="23"/>
      <c r="G9" s="3">
        <f t="shared" si="1"/>
        <v>1</v>
      </c>
      <c r="H9" s="14" t="s">
        <v>10</v>
      </c>
    </row>
    <row r="10" spans="1:8" x14ac:dyDescent="0.2">
      <c r="A10" t="s">
        <v>49</v>
      </c>
      <c r="B10" t="s">
        <v>54</v>
      </c>
      <c r="C10" s="14">
        <v>1980</v>
      </c>
      <c r="D10" t="str">
        <f t="shared" si="0"/>
        <v>yes</v>
      </c>
      <c r="E10">
        <f>COUNTIF($B$8:$B$1006,"Colombia")</f>
        <v>18</v>
      </c>
      <c r="F10" s="23"/>
      <c r="G10" s="3">
        <f t="shared" si="1"/>
        <v>1</v>
      </c>
      <c r="H10" s="14" t="s">
        <v>54</v>
      </c>
    </row>
    <row r="11" spans="1:8" x14ac:dyDescent="0.2">
      <c r="A11" t="s">
        <v>95</v>
      </c>
      <c r="B11" t="s">
        <v>117</v>
      </c>
      <c r="C11" s="14">
        <v>1980</v>
      </c>
      <c r="D11" t="str">
        <f t="shared" si="0"/>
        <v>yes</v>
      </c>
      <c r="E11">
        <f>COUNTIF($B$8:$B$1006,"Madagascar")</f>
        <v>7</v>
      </c>
      <c r="F11" s="23"/>
      <c r="G11" s="3">
        <f t="shared" si="1"/>
        <v>1</v>
      </c>
      <c r="H11" s="14" t="s">
        <v>117</v>
      </c>
    </row>
    <row r="12" spans="1:8" x14ac:dyDescent="0.2">
      <c r="A12" t="s">
        <v>4</v>
      </c>
      <c r="B12" t="s">
        <v>7</v>
      </c>
      <c r="C12" s="14">
        <v>1981</v>
      </c>
      <c r="D12" t="str">
        <f t="shared" si="0"/>
        <v>yes</v>
      </c>
      <c r="E12">
        <f>COUNTIF($B$8:$B$1006,"China")</f>
        <v>17</v>
      </c>
      <c r="F12" s="23"/>
      <c r="G12" s="3" t="str">
        <f t="shared" si="1"/>
        <v/>
      </c>
      <c r="H12" s="14"/>
    </row>
    <row r="13" spans="1:8" x14ac:dyDescent="0.2">
      <c r="A13" t="s">
        <v>4</v>
      </c>
      <c r="B13" t="s">
        <v>16</v>
      </c>
      <c r="C13" s="14">
        <v>1981</v>
      </c>
      <c r="D13" t="str">
        <f t="shared" si="0"/>
        <v>yes</v>
      </c>
      <c r="E13">
        <f>COUNTIF($B$8:$B$1006,"Thailand")</f>
        <v>13</v>
      </c>
      <c r="F13" s="23"/>
      <c r="G13" s="3">
        <f t="shared" si="1"/>
        <v>1</v>
      </c>
      <c r="H13" s="14" t="s">
        <v>16</v>
      </c>
    </row>
    <row r="14" spans="1:8" x14ac:dyDescent="0.2">
      <c r="A14" t="s">
        <v>49</v>
      </c>
      <c r="B14" t="s">
        <v>52</v>
      </c>
      <c r="C14" s="14">
        <v>1981</v>
      </c>
      <c r="D14" t="str">
        <f t="shared" si="0"/>
        <v>yes</v>
      </c>
      <c r="E14">
        <f>COUNTIF($B$8:$B$1006,"Brazil")</f>
        <v>26</v>
      </c>
      <c r="F14" s="23"/>
      <c r="G14" s="3">
        <f t="shared" si="1"/>
        <v>1</v>
      </c>
      <c r="H14" s="14" t="s">
        <v>52</v>
      </c>
    </row>
    <row r="15" spans="1:8" x14ac:dyDescent="0.2">
      <c r="A15" t="s">
        <v>49</v>
      </c>
      <c r="B15" t="s">
        <v>55</v>
      </c>
      <c r="C15" s="14">
        <v>1981</v>
      </c>
      <c r="D15" t="str">
        <f t="shared" si="0"/>
        <v>yes</v>
      </c>
      <c r="E15">
        <f>COUNTIF($B$8:$B$1006,"Costa Rica")</f>
        <v>23</v>
      </c>
      <c r="F15" s="23"/>
      <c r="G15" s="3">
        <f t="shared" si="1"/>
        <v>1</v>
      </c>
      <c r="H15" s="14" t="s">
        <v>55</v>
      </c>
    </row>
    <row r="16" spans="1:8" x14ac:dyDescent="0.2">
      <c r="A16" t="s">
        <v>49</v>
      </c>
      <c r="B16" t="s">
        <v>72</v>
      </c>
      <c r="C16" s="14">
        <v>1981</v>
      </c>
      <c r="D16" t="str">
        <f t="shared" si="0"/>
        <v>yes</v>
      </c>
      <c r="E16">
        <f>COUNTIF($B$8:$B$1006,"Uruguay")</f>
        <v>18</v>
      </c>
      <c r="F16" s="23"/>
      <c r="G16" s="3">
        <f t="shared" si="1"/>
        <v>1</v>
      </c>
      <c r="H16" s="14" t="s">
        <v>72</v>
      </c>
    </row>
    <row r="17" spans="1:8" x14ac:dyDescent="0.2">
      <c r="A17" t="s">
        <v>49</v>
      </c>
      <c r="B17" t="s">
        <v>73</v>
      </c>
      <c r="C17" s="14">
        <v>1981</v>
      </c>
      <c r="D17" t="str">
        <f t="shared" si="0"/>
        <v>yes</v>
      </c>
      <c r="E17">
        <f>COUNTIF($B$8:$B$1006,"Venezuela")</f>
        <v>13</v>
      </c>
      <c r="F17" s="23"/>
      <c r="G17" s="3">
        <f t="shared" si="1"/>
        <v>1</v>
      </c>
      <c r="H17" s="14" t="s">
        <v>73</v>
      </c>
    </row>
    <row r="18" spans="1:8" x14ac:dyDescent="0.2">
      <c r="A18" t="s">
        <v>49</v>
      </c>
      <c r="B18" t="s">
        <v>52</v>
      </c>
      <c r="C18" s="14">
        <v>1982</v>
      </c>
      <c r="D18" t="str">
        <f t="shared" si="0"/>
        <v>yes</v>
      </c>
      <c r="E18">
        <f>COUNTIF($B$8:$B$1006,"Brazil")</f>
        <v>26</v>
      </c>
      <c r="F18" s="23"/>
      <c r="G18" s="3" t="str">
        <f t="shared" si="1"/>
        <v/>
      </c>
      <c r="H18" s="14"/>
    </row>
    <row r="19" spans="1:8" x14ac:dyDescent="0.2">
      <c r="A19" t="s">
        <v>95</v>
      </c>
      <c r="B19" t="s">
        <v>108</v>
      </c>
      <c r="C19" s="14">
        <v>1982</v>
      </c>
      <c r="D19" t="str">
        <f t="shared" si="0"/>
        <v>yes</v>
      </c>
      <c r="E19">
        <f>COUNTIF($B$8:$B$1006,"Ethiopia")</f>
        <v>4</v>
      </c>
      <c r="F19" s="23"/>
      <c r="G19" s="3">
        <f t="shared" si="1"/>
        <v>1</v>
      </c>
      <c r="H19" s="14" t="s">
        <v>108</v>
      </c>
    </row>
    <row r="20" spans="1:8" x14ac:dyDescent="0.2">
      <c r="A20" t="s">
        <v>49</v>
      </c>
      <c r="B20" t="s">
        <v>52</v>
      </c>
      <c r="C20" s="14">
        <v>1983</v>
      </c>
      <c r="D20" t="str">
        <f t="shared" si="0"/>
        <v>yes</v>
      </c>
      <c r="E20">
        <f>COUNTIF($B$8:$B$1006,"Brazil")</f>
        <v>26</v>
      </c>
      <c r="F20" s="23"/>
      <c r="G20" s="3" t="str">
        <f t="shared" si="1"/>
        <v/>
      </c>
      <c r="H20" s="14"/>
    </row>
    <row r="21" spans="1:8" x14ac:dyDescent="0.2">
      <c r="A21" t="s">
        <v>87</v>
      </c>
      <c r="B21" t="s">
        <v>89</v>
      </c>
      <c r="C21" s="14">
        <v>1983</v>
      </c>
      <c r="D21" t="str">
        <f t="shared" si="0"/>
        <v>yes</v>
      </c>
      <c r="E21">
        <f>COUNTIF($B$8:$B$1006,"India")</f>
        <v>5</v>
      </c>
      <c r="F21" s="23"/>
      <c r="G21" s="3">
        <f t="shared" si="1"/>
        <v>1</v>
      </c>
      <c r="H21" s="14" t="s">
        <v>89</v>
      </c>
    </row>
    <row r="22" spans="1:8" x14ac:dyDescent="0.2">
      <c r="A22" t="s">
        <v>4</v>
      </c>
      <c r="B22" t="s">
        <v>7</v>
      </c>
      <c r="C22" s="14">
        <v>1984</v>
      </c>
      <c r="D22" t="str">
        <f t="shared" si="0"/>
        <v>yes</v>
      </c>
      <c r="E22">
        <f>COUNTIF($B$8:$B$1006,"China")</f>
        <v>17</v>
      </c>
      <c r="F22" s="23"/>
      <c r="G22" s="3" t="str">
        <f t="shared" si="1"/>
        <v/>
      </c>
      <c r="H22" s="14"/>
    </row>
    <row r="23" spans="1:8" x14ac:dyDescent="0.2">
      <c r="A23" t="s">
        <v>4</v>
      </c>
      <c r="B23" t="s">
        <v>10</v>
      </c>
      <c r="C23" s="14">
        <v>1984</v>
      </c>
      <c r="D23" t="str">
        <f t="shared" si="0"/>
        <v>yes</v>
      </c>
      <c r="E23">
        <f>COUNTIF($B$8:$B$1006,"Indonesia")</f>
        <v>14</v>
      </c>
      <c r="F23" s="23"/>
      <c r="G23" s="3" t="str">
        <f t="shared" si="1"/>
        <v/>
      </c>
      <c r="H23" s="14"/>
    </row>
    <row r="24" spans="1:8" x14ac:dyDescent="0.2">
      <c r="A24" t="s">
        <v>4</v>
      </c>
      <c r="B24" t="s">
        <v>12</v>
      </c>
      <c r="C24" s="14">
        <v>1984</v>
      </c>
      <c r="D24" t="str">
        <f t="shared" si="0"/>
        <v>yes</v>
      </c>
      <c r="E24">
        <f>COUNTIF($B$8:$B$1006,"Malaysia")</f>
        <v>9</v>
      </c>
      <c r="F24" s="23"/>
      <c r="G24" s="3">
        <f t="shared" si="1"/>
        <v>1</v>
      </c>
      <c r="H24" s="14" t="s">
        <v>12</v>
      </c>
    </row>
    <row r="25" spans="1:8" x14ac:dyDescent="0.2">
      <c r="A25" t="s">
        <v>49</v>
      </c>
      <c r="B25" t="s">
        <v>52</v>
      </c>
      <c r="C25" s="14">
        <v>1984</v>
      </c>
      <c r="D25" t="str">
        <f t="shared" si="0"/>
        <v>yes</v>
      </c>
      <c r="E25">
        <f>COUNTIF($B$8:$B$1006,"Brazil")</f>
        <v>26</v>
      </c>
      <c r="F25" s="23"/>
      <c r="G25" s="3" t="str">
        <f t="shared" si="1"/>
        <v/>
      </c>
      <c r="H25" s="14"/>
    </row>
    <row r="26" spans="1:8" x14ac:dyDescent="0.2">
      <c r="A26" t="s">
        <v>49</v>
      </c>
      <c r="B26" t="s">
        <v>64</v>
      </c>
      <c r="C26" s="14">
        <v>1984</v>
      </c>
      <c r="D26" t="str">
        <f t="shared" si="0"/>
        <v>yes</v>
      </c>
      <c r="E26">
        <f>COUNTIF($B$8:$B$1006,"Mexico")</f>
        <v>13</v>
      </c>
      <c r="F26" s="23"/>
      <c r="G26" s="3">
        <f t="shared" si="1"/>
        <v>1</v>
      </c>
      <c r="H26" s="14" t="s">
        <v>64</v>
      </c>
    </row>
    <row r="27" spans="1:8" x14ac:dyDescent="0.2">
      <c r="A27" t="s">
        <v>87</v>
      </c>
      <c r="B27" t="s">
        <v>86</v>
      </c>
      <c r="C27" s="14">
        <v>1984</v>
      </c>
      <c r="D27" t="str">
        <f t="shared" si="0"/>
        <v>yes</v>
      </c>
      <c r="E27">
        <f>COUNTIF($B$8:$B$1006,"Bangladesh")</f>
        <v>8</v>
      </c>
      <c r="F27" s="23"/>
      <c r="G27" s="3">
        <f t="shared" si="1"/>
        <v>1</v>
      </c>
      <c r="H27" s="14" t="s">
        <v>86</v>
      </c>
    </row>
    <row r="28" spans="1:8" x14ac:dyDescent="0.2">
      <c r="A28" t="s">
        <v>4</v>
      </c>
      <c r="B28" t="s">
        <v>7</v>
      </c>
      <c r="C28" s="14">
        <v>1985</v>
      </c>
      <c r="D28" t="str">
        <f t="shared" si="0"/>
        <v>yes</v>
      </c>
      <c r="E28">
        <f>COUNTIF($B$8:$B$1006,"China")</f>
        <v>17</v>
      </c>
      <c r="F28" s="23"/>
      <c r="G28" s="3" t="str">
        <f t="shared" si="1"/>
        <v/>
      </c>
      <c r="H28" s="14"/>
    </row>
    <row r="29" spans="1:8" x14ac:dyDescent="0.2">
      <c r="A29" t="s">
        <v>4</v>
      </c>
      <c r="B29" t="s">
        <v>15</v>
      </c>
      <c r="C29" s="14">
        <v>1985</v>
      </c>
      <c r="D29" t="str">
        <f t="shared" si="0"/>
        <v>yes</v>
      </c>
      <c r="E29">
        <f>COUNTIF($B$8:$B$1006,"Philippines")</f>
        <v>9</v>
      </c>
      <c r="F29" s="23"/>
      <c r="G29" s="3">
        <f t="shared" si="1"/>
        <v>1</v>
      </c>
      <c r="H29" s="14" t="s">
        <v>15</v>
      </c>
    </row>
    <row r="30" spans="1:8" x14ac:dyDescent="0.2">
      <c r="A30" t="s">
        <v>19</v>
      </c>
      <c r="B30" t="s">
        <v>38</v>
      </c>
      <c r="C30" s="14">
        <v>1985</v>
      </c>
      <c r="D30" t="str">
        <f t="shared" si="0"/>
        <v>yes</v>
      </c>
      <c r="E30">
        <f>COUNTIF($B$8:$B$1006,"Poland")</f>
        <v>17</v>
      </c>
      <c r="F30" s="23"/>
      <c r="G30" s="3">
        <f t="shared" si="1"/>
        <v>1</v>
      </c>
      <c r="H30" s="14" t="s">
        <v>38</v>
      </c>
    </row>
    <row r="31" spans="1:8" x14ac:dyDescent="0.2">
      <c r="A31" t="s">
        <v>49</v>
      </c>
      <c r="B31" t="s">
        <v>52</v>
      </c>
      <c r="C31" s="14">
        <v>1985</v>
      </c>
      <c r="D31" t="str">
        <f t="shared" si="0"/>
        <v>yes</v>
      </c>
      <c r="E31">
        <f>COUNTIF($B$8:$B$1006,"Brazil")</f>
        <v>26</v>
      </c>
      <c r="F31" s="23"/>
      <c r="G31" s="3" t="str">
        <f t="shared" si="1"/>
        <v/>
      </c>
      <c r="H31" s="14"/>
    </row>
    <row r="32" spans="1:8" x14ac:dyDescent="0.2">
      <c r="A32" t="s">
        <v>74</v>
      </c>
      <c r="B32" t="s">
        <v>81</v>
      </c>
      <c r="C32" s="14">
        <v>1985</v>
      </c>
      <c r="D32" t="str">
        <f t="shared" si="0"/>
        <v>yes</v>
      </c>
      <c r="E32">
        <f>COUNTIF($B$8:$B$1006,"Morocco")</f>
        <v>5</v>
      </c>
      <c r="F32" s="23"/>
      <c r="G32" s="3">
        <f t="shared" si="1"/>
        <v>1</v>
      </c>
      <c r="H32" s="14" t="s">
        <v>81</v>
      </c>
    </row>
    <row r="33" spans="1:8" x14ac:dyDescent="0.2">
      <c r="A33" t="s">
        <v>74</v>
      </c>
      <c r="B33" t="s">
        <v>83</v>
      </c>
      <c r="C33" s="14">
        <v>1985</v>
      </c>
      <c r="D33" t="str">
        <f t="shared" si="0"/>
        <v>yes</v>
      </c>
      <c r="E33">
        <f>COUNTIF($B$8:$B$1006,"Tunisia")</f>
        <v>5</v>
      </c>
      <c r="F33" s="23"/>
      <c r="G33" s="3">
        <f t="shared" si="1"/>
        <v>1</v>
      </c>
      <c r="H33" s="14" t="s">
        <v>83</v>
      </c>
    </row>
    <row r="34" spans="1:8" x14ac:dyDescent="0.2">
      <c r="A34" t="s">
        <v>87</v>
      </c>
      <c r="B34" t="s">
        <v>91</v>
      </c>
      <c r="C34" s="14">
        <v>1985</v>
      </c>
      <c r="D34" t="str">
        <f t="shared" si="0"/>
        <v>yes</v>
      </c>
      <c r="E34">
        <f>COUNTIF($B$8:$B$1006,"Nepal")</f>
        <v>4</v>
      </c>
      <c r="F34" s="23"/>
      <c r="G34" s="3">
        <f t="shared" si="1"/>
        <v>1</v>
      </c>
      <c r="H34" s="14" t="s">
        <v>91</v>
      </c>
    </row>
    <row r="35" spans="1:8" x14ac:dyDescent="0.2">
      <c r="A35" t="s">
        <v>87</v>
      </c>
      <c r="B35" t="s">
        <v>93</v>
      </c>
      <c r="C35" s="14">
        <v>1985</v>
      </c>
      <c r="D35" t="str">
        <f t="shared" si="0"/>
        <v>yes</v>
      </c>
      <c r="E35">
        <f>COUNTIF($B$8:$B$1006,"Sri Lanka")</f>
        <v>5</v>
      </c>
      <c r="F35" s="23"/>
      <c r="G35" s="3">
        <f t="shared" si="1"/>
        <v>1</v>
      </c>
      <c r="H35" s="14" t="s">
        <v>93</v>
      </c>
    </row>
    <row r="36" spans="1:8" x14ac:dyDescent="0.2">
      <c r="A36" t="s">
        <v>95</v>
      </c>
      <c r="B36" t="s">
        <v>107</v>
      </c>
      <c r="C36" s="14">
        <v>1985</v>
      </c>
      <c r="D36" t="str">
        <f t="shared" si="0"/>
        <v>yes</v>
      </c>
      <c r="E36">
        <f>COUNTIF($B$8:$B$1006,"Cote D'Ivoire")</f>
        <v>9</v>
      </c>
      <c r="F36" s="23"/>
      <c r="G36" s="3">
        <f t="shared" si="1"/>
        <v>1</v>
      </c>
      <c r="H36" s="14" t="s">
        <v>107</v>
      </c>
    </row>
    <row r="37" spans="1:8" x14ac:dyDescent="0.2">
      <c r="A37" t="s">
        <v>95</v>
      </c>
      <c r="B37" t="s">
        <v>125</v>
      </c>
      <c r="C37" s="14">
        <v>1985</v>
      </c>
      <c r="D37" t="str">
        <f t="shared" si="0"/>
        <v>yes</v>
      </c>
      <c r="E37">
        <f>COUNTIF($B$8:$B$1006,"Rwanda")</f>
        <v>3</v>
      </c>
      <c r="F37" s="23"/>
      <c r="G37" s="3">
        <f t="shared" si="1"/>
        <v>1</v>
      </c>
      <c r="H37" s="14" t="s">
        <v>125</v>
      </c>
    </row>
    <row r="38" spans="1:8" x14ac:dyDescent="0.2">
      <c r="A38" t="s">
        <v>49</v>
      </c>
      <c r="B38" t="s">
        <v>48</v>
      </c>
      <c r="C38" s="14">
        <v>1986</v>
      </c>
      <c r="D38" t="str">
        <f t="shared" si="0"/>
        <v>yes</v>
      </c>
      <c r="E38">
        <f>COUNTIF($B$8:$B$1006,"Argentina")</f>
        <v>22</v>
      </c>
      <c r="F38" s="23"/>
      <c r="G38" s="3">
        <f t="shared" si="1"/>
        <v>1</v>
      </c>
      <c r="H38" s="14" t="s">
        <v>48</v>
      </c>
    </row>
    <row r="39" spans="1:8" x14ac:dyDescent="0.2">
      <c r="A39" t="s">
        <v>49</v>
      </c>
      <c r="B39" t="s">
        <v>52</v>
      </c>
      <c r="C39" s="14">
        <v>1986</v>
      </c>
      <c r="D39" t="str">
        <f t="shared" si="0"/>
        <v>yes</v>
      </c>
      <c r="E39">
        <f>COUNTIF($B$8:$B$1006,"Brazil")</f>
        <v>26</v>
      </c>
      <c r="F39" s="23"/>
      <c r="G39" s="3" t="str">
        <f t="shared" si="1"/>
        <v/>
      </c>
      <c r="H39" s="14"/>
    </row>
    <row r="40" spans="1:8" x14ac:dyDescent="0.2">
      <c r="A40" t="s">
        <v>49</v>
      </c>
      <c r="B40" t="s">
        <v>55</v>
      </c>
      <c r="C40" s="14">
        <v>1986</v>
      </c>
      <c r="D40" t="str">
        <f t="shared" si="0"/>
        <v>yes</v>
      </c>
      <c r="E40">
        <f>COUNTIF($B$8:$B$1006,"Costa Rica")</f>
        <v>23</v>
      </c>
      <c r="F40" s="23"/>
      <c r="G40" s="3" t="str">
        <f t="shared" si="1"/>
        <v/>
      </c>
      <c r="H40" s="14"/>
    </row>
    <row r="41" spans="1:8" x14ac:dyDescent="0.2">
      <c r="A41" t="s">
        <v>49</v>
      </c>
      <c r="B41" t="s">
        <v>56</v>
      </c>
      <c r="C41" s="14">
        <v>1986</v>
      </c>
      <c r="D41" t="str">
        <f t="shared" si="0"/>
        <v>yes</v>
      </c>
      <c r="E41">
        <f>COUNTIF($B$8:$B$1006,"Dominican Republic")</f>
        <v>16</v>
      </c>
      <c r="F41" s="23"/>
      <c r="G41" s="3">
        <f t="shared" si="1"/>
        <v>1</v>
      </c>
      <c r="H41" s="14" t="s">
        <v>56</v>
      </c>
    </row>
    <row r="42" spans="1:8" x14ac:dyDescent="0.2">
      <c r="A42" t="s">
        <v>49</v>
      </c>
      <c r="B42" t="s">
        <v>62</v>
      </c>
      <c r="C42" s="14">
        <v>1986</v>
      </c>
      <c r="D42" t="str">
        <f t="shared" si="0"/>
        <v>yes</v>
      </c>
      <c r="E42">
        <f>COUNTIF($B$8:$B$1006,"Honduras")</f>
        <v>21</v>
      </c>
      <c r="F42" s="23"/>
      <c r="G42" s="3">
        <f t="shared" si="1"/>
        <v>1</v>
      </c>
      <c r="H42" s="14" t="s">
        <v>62</v>
      </c>
    </row>
    <row r="43" spans="1:8" x14ac:dyDescent="0.2">
      <c r="A43" t="s">
        <v>49</v>
      </c>
      <c r="B43" t="s">
        <v>68</v>
      </c>
      <c r="C43" s="14">
        <v>1986</v>
      </c>
      <c r="D43" t="str">
        <f t="shared" si="0"/>
        <v>yes</v>
      </c>
      <c r="E43">
        <f>COUNTIF($B$8:$B$1006,"Peru")</f>
        <v>16</v>
      </c>
      <c r="F43" s="23"/>
      <c r="G43" s="3">
        <f t="shared" si="1"/>
        <v>1</v>
      </c>
      <c r="H43" s="14" t="s">
        <v>68</v>
      </c>
    </row>
    <row r="44" spans="1:8" x14ac:dyDescent="0.2">
      <c r="A44" t="s">
        <v>74</v>
      </c>
      <c r="B44" t="s">
        <v>78</v>
      </c>
      <c r="C44" s="14">
        <v>1986</v>
      </c>
      <c r="D44" t="str">
        <f t="shared" si="0"/>
        <v>yes</v>
      </c>
      <c r="E44">
        <f>COUNTIF($B$8:$B$1006,"Iran")</f>
        <v>5</v>
      </c>
      <c r="F44" s="23"/>
      <c r="G44" s="3">
        <f t="shared" si="1"/>
        <v>1</v>
      </c>
      <c r="H44" s="14" t="s">
        <v>78</v>
      </c>
    </row>
    <row r="45" spans="1:8" x14ac:dyDescent="0.2">
      <c r="A45" t="s">
        <v>87</v>
      </c>
      <c r="B45" t="s">
        <v>86</v>
      </c>
      <c r="C45" s="14">
        <v>1986</v>
      </c>
      <c r="D45" t="str">
        <f t="shared" si="0"/>
        <v>yes</v>
      </c>
      <c r="E45">
        <f>COUNTIF($B$8:$B$1006,"Bangladesh")</f>
        <v>8</v>
      </c>
      <c r="F45" s="23"/>
      <c r="G45" s="3" t="str">
        <f t="shared" si="1"/>
        <v/>
      </c>
      <c r="H45" s="14"/>
    </row>
    <row r="46" spans="1:8" x14ac:dyDescent="0.2">
      <c r="A46" t="s">
        <v>95</v>
      </c>
      <c r="B46" t="s">
        <v>97</v>
      </c>
      <c r="C46" s="14">
        <v>1986</v>
      </c>
      <c r="D46" t="str">
        <f t="shared" si="0"/>
        <v>yes</v>
      </c>
      <c r="E46">
        <f>COUNTIF($B$8:$B$1006,"Botswana")</f>
        <v>2</v>
      </c>
      <c r="F46" s="23"/>
      <c r="G46" s="3">
        <f t="shared" si="1"/>
        <v>1</v>
      </c>
      <c r="H46" s="14" t="s">
        <v>97</v>
      </c>
    </row>
    <row r="47" spans="1:8" x14ac:dyDescent="0.2">
      <c r="A47" t="s">
        <v>95</v>
      </c>
      <c r="B47" t="s">
        <v>107</v>
      </c>
      <c r="C47" s="14">
        <v>1986</v>
      </c>
      <c r="D47" t="str">
        <f t="shared" si="0"/>
        <v>yes</v>
      </c>
      <c r="E47">
        <f>COUNTIF($B$8:$B$1006,"Cote D'Ivoire")</f>
        <v>9</v>
      </c>
      <c r="F47" s="23"/>
      <c r="G47" s="3" t="str">
        <f t="shared" si="1"/>
        <v/>
      </c>
      <c r="H47" s="14"/>
    </row>
    <row r="48" spans="1:8" x14ac:dyDescent="0.2">
      <c r="A48" t="s">
        <v>95</v>
      </c>
      <c r="B48" t="s">
        <v>124</v>
      </c>
      <c r="C48" s="14">
        <v>1986</v>
      </c>
      <c r="D48" t="str">
        <f t="shared" si="0"/>
        <v>yes</v>
      </c>
      <c r="E48">
        <f>COUNTIF($B$8:$B$1006,"Nigeria")</f>
        <v>5</v>
      </c>
      <c r="F48" s="23"/>
      <c r="G48" s="3">
        <f t="shared" si="1"/>
        <v>1</v>
      </c>
      <c r="H48" s="14" t="s">
        <v>124</v>
      </c>
    </row>
    <row r="49" spans="1:8" x14ac:dyDescent="0.2">
      <c r="A49" t="s">
        <v>4</v>
      </c>
      <c r="B49" t="s">
        <v>7</v>
      </c>
      <c r="C49" s="14">
        <v>1987</v>
      </c>
      <c r="D49" t="str">
        <f t="shared" si="0"/>
        <v>yes</v>
      </c>
      <c r="E49">
        <f>COUNTIF($B$8:$B$1006,"China")</f>
        <v>17</v>
      </c>
      <c r="F49" s="23"/>
      <c r="G49" s="3" t="str">
        <f t="shared" si="1"/>
        <v/>
      </c>
      <c r="H49" s="14"/>
    </row>
    <row r="50" spans="1:8" x14ac:dyDescent="0.2">
      <c r="A50" t="s">
        <v>4</v>
      </c>
      <c r="B50" t="s">
        <v>10</v>
      </c>
      <c r="C50" s="14">
        <v>1987</v>
      </c>
      <c r="D50" t="str">
        <f t="shared" si="0"/>
        <v>yes</v>
      </c>
      <c r="E50">
        <f>COUNTIF($B$8:$B$1006,"Indonesia")</f>
        <v>14</v>
      </c>
      <c r="F50" s="23"/>
      <c r="G50" s="3" t="str">
        <f t="shared" si="1"/>
        <v/>
      </c>
      <c r="H50" s="14"/>
    </row>
    <row r="51" spans="1:8" x14ac:dyDescent="0.2">
      <c r="A51" t="s">
        <v>4</v>
      </c>
      <c r="B51" t="s">
        <v>12</v>
      </c>
      <c r="C51" s="14">
        <v>1987</v>
      </c>
      <c r="D51" t="str">
        <f t="shared" si="0"/>
        <v>yes</v>
      </c>
      <c r="E51">
        <f>COUNTIF($B$8:$B$1006,"Malaysia")</f>
        <v>9</v>
      </c>
      <c r="F51" s="23"/>
      <c r="G51" s="3" t="str">
        <f t="shared" si="1"/>
        <v/>
      </c>
      <c r="H51" s="14"/>
    </row>
    <row r="52" spans="1:8" x14ac:dyDescent="0.2">
      <c r="A52" t="s">
        <v>19</v>
      </c>
      <c r="B52" t="s">
        <v>30</v>
      </c>
      <c r="C52" s="14">
        <v>1987</v>
      </c>
      <c r="D52" t="str">
        <f t="shared" si="0"/>
        <v>yes</v>
      </c>
      <c r="E52">
        <f>COUNTIF($B$8:$B$1006,"Hungary")</f>
        <v>10</v>
      </c>
      <c r="F52" s="23"/>
      <c r="G52" s="3">
        <f t="shared" si="1"/>
        <v>1</v>
      </c>
      <c r="H52" s="14" t="s">
        <v>30</v>
      </c>
    </row>
    <row r="53" spans="1:8" x14ac:dyDescent="0.2">
      <c r="A53" t="s">
        <v>19</v>
      </c>
      <c r="B53" t="s">
        <v>38</v>
      </c>
      <c r="C53" s="14">
        <v>1987</v>
      </c>
      <c r="D53" t="str">
        <f t="shared" si="0"/>
        <v>yes</v>
      </c>
      <c r="E53">
        <f>COUNTIF($B$8:$B$1006,"Poland")</f>
        <v>17</v>
      </c>
      <c r="F53" s="23"/>
      <c r="G53" s="3" t="str">
        <f t="shared" si="1"/>
        <v/>
      </c>
      <c r="H53" s="14"/>
    </row>
    <row r="54" spans="1:8" x14ac:dyDescent="0.2">
      <c r="A54" t="s">
        <v>19</v>
      </c>
      <c r="B54" t="s">
        <v>44</v>
      </c>
      <c r="C54" s="14">
        <v>1987</v>
      </c>
      <c r="D54" t="str">
        <f t="shared" si="0"/>
        <v>yes</v>
      </c>
      <c r="E54">
        <f>COUNTIF($B$8:$B$1006,"Slovenia")</f>
        <v>6</v>
      </c>
      <c r="F54" s="23"/>
      <c r="G54" s="3">
        <f t="shared" si="1"/>
        <v>1</v>
      </c>
      <c r="H54" s="14" t="s">
        <v>44</v>
      </c>
    </row>
    <row r="55" spans="1:8" x14ac:dyDescent="0.2">
      <c r="A55" t="s">
        <v>19</v>
      </c>
      <c r="B55" t="s">
        <v>45</v>
      </c>
      <c r="C55" s="14">
        <v>1987</v>
      </c>
      <c r="D55" t="str">
        <f t="shared" si="0"/>
        <v>yes</v>
      </c>
      <c r="E55">
        <f>COUNTIF($B$8:$B$1006,"Turkey")</f>
        <v>9</v>
      </c>
      <c r="F55" s="23"/>
      <c r="G55" s="3">
        <f t="shared" si="1"/>
        <v>1</v>
      </c>
      <c r="H55" s="14" t="s">
        <v>45</v>
      </c>
    </row>
    <row r="56" spans="1:8" x14ac:dyDescent="0.2">
      <c r="A56" t="s">
        <v>49</v>
      </c>
      <c r="B56" t="s">
        <v>48</v>
      </c>
      <c r="C56" s="14">
        <v>1987</v>
      </c>
      <c r="D56" t="str">
        <f t="shared" si="0"/>
        <v>yes</v>
      </c>
      <c r="E56">
        <f>COUNTIF($B$8:$B$1006,"Argentina")</f>
        <v>22</v>
      </c>
      <c r="F56" s="23"/>
      <c r="G56" s="3" t="str">
        <f t="shared" si="1"/>
        <v/>
      </c>
      <c r="H56" s="14"/>
    </row>
    <row r="57" spans="1:8" x14ac:dyDescent="0.2">
      <c r="A57" t="s">
        <v>49</v>
      </c>
      <c r="B57" t="s">
        <v>52</v>
      </c>
      <c r="C57" s="14">
        <v>1987</v>
      </c>
      <c r="D57" t="str">
        <f t="shared" si="0"/>
        <v>yes</v>
      </c>
      <c r="E57">
        <f>COUNTIF($B$8:$B$1006,"Brazil")</f>
        <v>26</v>
      </c>
      <c r="F57" s="23"/>
      <c r="G57" s="3" t="str">
        <f t="shared" si="1"/>
        <v/>
      </c>
      <c r="H57" s="14"/>
    </row>
    <row r="58" spans="1:8" x14ac:dyDescent="0.2">
      <c r="A58" t="s">
        <v>49</v>
      </c>
      <c r="B58" t="s">
        <v>53</v>
      </c>
      <c r="C58" s="14">
        <v>1987</v>
      </c>
      <c r="D58" t="str">
        <f t="shared" si="0"/>
        <v>yes</v>
      </c>
      <c r="E58">
        <f>COUNTIF($B$8:$B$1006,"Chile")</f>
        <v>10</v>
      </c>
      <c r="F58" s="23"/>
      <c r="G58" s="3">
        <f t="shared" si="1"/>
        <v>1</v>
      </c>
      <c r="H58" s="14" t="s">
        <v>53</v>
      </c>
    </row>
    <row r="59" spans="1:8" x14ac:dyDescent="0.2">
      <c r="A59" t="s">
        <v>49</v>
      </c>
      <c r="B59" t="s">
        <v>57</v>
      </c>
      <c r="C59" s="14">
        <v>1987</v>
      </c>
      <c r="D59" t="str">
        <f t="shared" si="0"/>
        <v>yes</v>
      </c>
      <c r="E59">
        <f>COUNTIF($B$8:$B$1006,"Ecuador")</f>
        <v>13</v>
      </c>
      <c r="F59" s="23"/>
      <c r="G59" s="3">
        <f t="shared" si="1"/>
        <v>1</v>
      </c>
      <c r="H59" s="14" t="s">
        <v>57</v>
      </c>
    </row>
    <row r="60" spans="1:8" x14ac:dyDescent="0.2">
      <c r="A60" t="s">
        <v>49</v>
      </c>
      <c r="B60" t="s">
        <v>59</v>
      </c>
      <c r="C60" s="14">
        <v>1987</v>
      </c>
      <c r="D60" t="str">
        <f t="shared" si="0"/>
        <v>yes</v>
      </c>
      <c r="E60">
        <f>COUNTIF($B$8:$B$1006,"Guatemala")</f>
        <v>8</v>
      </c>
      <c r="F60" s="23"/>
      <c r="G60" s="3">
        <f t="shared" si="1"/>
        <v>1</v>
      </c>
      <c r="H60" s="14" t="s">
        <v>59</v>
      </c>
    </row>
    <row r="61" spans="1:8" x14ac:dyDescent="0.2">
      <c r="A61" t="s">
        <v>49</v>
      </c>
      <c r="B61" t="s">
        <v>73</v>
      </c>
      <c r="C61" s="14">
        <v>1987</v>
      </c>
      <c r="D61" t="str">
        <f t="shared" si="0"/>
        <v>yes</v>
      </c>
      <c r="E61">
        <f>COUNTIF($B$8:$B$1006,"Venezuela")</f>
        <v>13</v>
      </c>
      <c r="F61" s="23"/>
      <c r="G61" s="3" t="str">
        <f t="shared" si="1"/>
        <v/>
      </c>
      <c r="H61" s="14"/>
    </row>
    <row r="62" spans="1:8" x14ac:dyDescent="0.2">
      <c r="A62" t="s">
        <v>74</v>
      </c>
      <c r="B62" t="s">
        <v>80</v>
      </c>
      <c r="C62" s="14">
        <v>1987</v>
      </c>
      <c r="D62" t="str">
        <f t="shared" si="0"/>
        <v>yes</v>
      </c>
      <c r="E62">
        <f>COUNTIF($B$8:$B$1006,"Jordan")</f>
        <v>7</v>
      </c>
      <c r="F62" s="23"/>
      <c r="G62" s="3">
        <f t="shared" si="1"/>
        <v>1</v>
      </c>
      <c r="H62" s="14" t="s">
        <v>80</v>
      </c>
    </row>
    <row r="63" spans="1:8" x14ac:dyDescent="0.2">
      <c r="A63" t="s">
        <v>87</v>
      </c>
      <c r="B63" t="s">
        <v>92</v>
      </c>
      <c r="C63" s="14">
        <v>1987</v>
      </c>
      <c r="D63" t="str">
        <f t="shared" si="0"/>
        <v>yes</v>
      </c>
      <c r="E63">
        <f>COUNTIF($B$8:$B$1006,"Pakistan")</f>
        <v>8</v>
      </c>
      <c r="F63" s="23"/>
      <c r="G63" s="3">
        <f t="shared" si="1"/>
        <v>1</v>
      </c>
      <c r="H63" s="14" t="s">
        <v>92</v>
      </c>
    </row>
    <row r="64" spans="1:8" x14ac:dyDescent="0.2">
      <c r="A64" t="s">
        <v>95</v>
      </c>
      <c r="B64" t="s">
        <v>107</v>
      </c>
      <c r="C64" s="14">
        <v>1987</v>
      </c>
      <c r="D64" t="str">
        <f t="shared" si="0"/>
        <v>yes</v>
      </c>
      <c r="E64">
        <f>COUNTIF($B$8:$B$1006,"Cote D'Ivoire")</f>
        <v>9</v>
      </c>
      <c r="F64" s="23"/>
      <c r="G64" s="3" t="str">
        <f t="shared" si="1"/>
        <v/>
      </c>
      <c r="H64" s="14"/>
    </row>
    <row r="65" spans="1:8" x14ac:dyDescent="0.2">
      <c r="A65" t="s">
        <v>95</v>
      </c>
      <c r="B65" t="s">
        <v>115</v>
      </c>
      <c r="C65" s="14">
        <v>1987</v>
      </c>
      <c r="D65" t="str">
        <f t="shared" si="0"/>
        <v>yes</v>
      </c>
      <c r="E65">
        <f>COUNTIF($B$8:$B$1006,"Lesotho")</f>
        <v>4</v>
      </c>
      <c r="F65" s="23"/>
      <c r="G65" s="3">
        <f t="shared" si="1"/>
        <v>1</v>
      </c>
      <c r="H65" s="14" t="s">
        <v>115</v>
      </c>
    </row>
    <row r="66" spans="1:8" x14ac:dyDescent="0.2">
      <c r="A66" t="s">
        <v>95</v>
      </c>
      <c r="B66" t="s">
        <v>120</v>
      </c>
      <c r="C66" s="14">
        <v>1987</v>
      </c>
      <c r="D66" t="str">
        <f t="shared" si="0"/>
        <v>yes</v>
      </c>
      <c r="E66">
        <f>COUNTIF($B$8:$B$1006,"Mauritania")</f>
        <v>6</v>
      </c>
      <c r="F66" s="23"/>
      <c r="G66" s="3">
        <f t="shared" si="1"/>
        <v>1</v>
      </c>
      <c r="H66" s="14" t="s">
        <v>120</v>
      </c>
    </row>
    <row r="67" spans="1:8" x14ac:dyDescent="0.2">
      <c r="A67" t="s">
        <v>4</v>
      </c>
      <c r="B67" t="s">
        <v>15</v>
      </c>
      <c r="C67" s="14">
        <v>1988</v>
      </c>
      <c r="D67" t="str">
        <f t="shared" si="0"/>
        <v>yes</v>
      </c>
      <c r="E67">
        <f>COUNTIF($B$8:$B$1006,"Philippines")</f>
        <v>9</v>
      </c>
      <c r="F67" s="23"/>
      <c r="G67" s="3" t="str">
        <f t="shared" si="1"/>
        <v/>
      </c>
      <c r="H67" s="14"/>
    </row>
    <row r="68" spans="1:8" x14ac:dyDescent="0.2">
      <c r="A68" t="s">
        <v>4</v>
      </c>
      <c r="B68" t="s">
        <v>16</v>
      </c>
      <c r="C68" s="14">
        <v>1988</v>
      </c>
      <c r="D68" t="str">
        <f t="shared" si="0"/>
        <v>yes</v>
      </c>
      <c r="E68">
        <f>COUNTIF($B$8:$B$1006,"Thailand")</f>
        <v>13</v>
      </c>
      <c r="F68" s="23"/>
      <c r="G68" s="3" t="str">
        <f t="shared" si="1"/>
        <v/>
      </c>
      <c r="H68" s="14"/>
    </row>
    <row r="69" spans="1:8" x14ac:dyDescent="0.2">
      <c r="A69" t="s">
        <v>19</v>
      </c>
      <c r="B69" t="s">
        <v>23</v>
      </c>
      <c r="C69" s="14">
        <v>1988</v>
      </c>
      <c r="D69" t="str">
        <f t="shared" si="0"/>
        <v>yes</v>
      </c>
      <c r="E69">
        <f>COUNTIF($B$8:$B$1006,"Belarus")</f>
        <v>12</v>
      </c>
      <c r="F69" s="23"/>
      <c r="G69" s="3">
        <f t="shared" si="1"/>
        <v>1</v>
      </c>
      <c r="H69" s="14" t="s">
        <v>23</v>
      </c>
    </row>
    <row r="70" spans="1:8" x14ac:dyDescent="0.2">
      <c r="A70" t="s">
        <v>19</v>
      </c>
      <c r="B70" t="s">
        <v>26</v>
      </c>
      <c r="C70" s="14">
        <v>1988</v>
      </c>
      <c r="D70" t="str">
        <f t="shared" si="0"/>
        <v>yes</v>
      </c>
      <c r="E70">
        <f>COUNTIF($B$8:$B$1006,"Croatia")</f>
        <v>7</v>
      </c>
      <c r="F70" s="23"/>
      <c r="G70" s="3">
        <f t="shared" si="1"/>
        <v>1</v>
      </c>
      <c r="H70" s="14" t="s">
        <v>26</v>
      </c>
    </row>
    <row r="71" spans="1:8" x14ac:dyDescent="0.2">
      <c r="A71" t="s">
        <v>19</v>
      </c>
      <c r="B71" t="s">
        <v>27</v>
      </c>
      <c r="C71" s="14">
        <v>1988</v>
      </c>
      <c r="D71" t="str">
        <f t="shared" si="0"/>
        <v>yes</v>
      </c>
      <c r="E71">
        <f>COUNTIF($B$8:$B$1006,"Czech Republic")</f>
        <v>3</v>
      </c>
      <c r="F71" s="23"/>
      <c r="G71" s="3">
        <f t="shared" si="1"/>
        <v>1</v>
      </c>
      <c r="H71" s="14" t="s">
        <v>27</v>
      </c>
    </row>
    <row r="72" spans="1:8" x14ac:dyDescent="0.2">
      <c r="A72" t="s">
        <v>19</v>
      </c>
      <c r="B72" t="s">
        <v>28</v>
      </c>
      <c r="C72" s="14">
        <v>1988</v>
      </c>
      <c r="D72" t="str">
        <f t="shared" ref="D72:D135" si="2">IF(F72="LSMS","no","yes")</f>
        <v>yes</v>
      </c>
      <c r="E72">
        <f>COUNTIF($B$8:$B$1006,"Estonia")</f>
        <v>9</v>
      </c>
      <c r="F72" s="23"/>
      <c r="G72" s="3">
        <f t="shared" ref="G72:G135" si="3">IF(H72="","",1)</f>
        <v>1</v>
      </c>
      <c r="H72" s="14" t="s">
        <v>28</v>
      </c>
    </row>
    <row r="73" spans="1:8" x14ac:dyDescent="0.2">
      <c r="A73" t="s">
        <v>19</v>
      </c>
      <c r="B73" t="s">
        <v>31</v>
      </c>
      <c r="C73" s="14">
        <v>1988</v>
      </c>
      <c r="D73" t="str">
        <f t="shared" si="2"/>
        <v>yes</v>
      </c>
      <c r="E73">
        <f>COUNTIF($B$8:$B$1006,"Hungary")</f>
        <v>10</v>
      </c>
      <c r="F73" s="23"/>
      <c r="G73" s="3">
        <f t="shared" si="3"/>
        <v>1</v>
      </c>
      <c r="H73" s="14" t="s">
        <v>31</v>
      </c>
    </row>
    <row r="74" spans="1:8" x14ac:dyDescent="0.2">
      <c r="A74" t="s">
        <v>19</v>
      </c>
      <c r="B74" t="s">
        <v>32</v>
      </c>
      <c r="C74" s="14">
        <v>1988</v>
      </c>
      <c r="D74" t="str">
        <f t="shared" si="2"/>
        <v>yes</v>
      </c>
      <c r="E74">
        <f>COUNTIF($B$8:$B$1006,"Kyrgyz Republic")</f>
        <v>10</v>
      </c>
      <c r="F74" s="23"/>
      <c r="G74" s="3">
        <f t="shared" si="3"/>
        <v>1</v>
      </c>
      <c r="H74" s="14" t="s">
        <v>32</v>
      </c>
    </row>
    <row r="75" spans="1:8" x14ac:dyDescent="0.2">
      <c r="A75" t="s">
        <v>19</v>
      </c>
      <c r="B75" t="s">
        <v>33</v>
      </c>
      <c r="C75" s="14">
        <v>1988</v>
      </c>
      <c r="D75" t="str">
        <f t="shared" si="2"/>
        <v>yes</v>
      </c>
      <c r="E75">
        <f>COUNTIF($B$8:$B$1006,"Latvia")</f>
        <v>11</v>
      </c>
      <c r="F75" s="23"/>
      <c r="G75" s="3">
        <f t="shared" si="3"/>
        <v>1</v>
      </c>
      <c r="H75" s="14" t="s">
        <v>33</v>
      </c>
    </row>
    <row r="76" spans="1:8" x14ac:dyDescent="0.2">
      <c r="A76" t="s">
        <v>19</v>
      </c>
      <c r="B76" t="s">
        <v>34</v>
      </c>
      <c r="C76" s="14">
        <v>1988</v>
      </c>
      <c r="D76" t="str">
        <f t="shared" si="2"/>
        <v>yes</v>
      </c>
      <c r="E76">
        <f>COUNTIF($B$8:$B$1006,"Lithuania")</f>
        <v>9</v>
      </c>
      <c r="F76" s="23"/>
      <c r="G76" s="3">
        <f t="shared" si="3"/>
        <v>1</v>
      </c>
      <c r="H76" s="14" t="s">
        <v>34</v>
      </c>
    </row>
    <row r="77" spans="1:8" x14ac:dyDescent="0.2">
      <c r="A77" t="s">
        <v>19</v>
      </c>
      <c r="B77" t="s">
        <v>36</v>
      </c>
      <c r="C77" s="14">
        <v>1988</v>
      </c>
      <c r="D77" t="str">
        <f t="shared" si="2"/>
        <v>yes</v>
      </c>
      <c r="E77">
        <f>COUNTIF($B$8:$B$1006,"Moldova")</f>
        <v>15</v>
      </c>
      <c r="F77" s="23"/>
      <c r="G77" s="3">
        <f t="shared" si="3"/>
        <v>1</v>
      </c>
      <c r="H77" s="14" t="s">
        <v>36</v>
      </c>
    </row>
    <row r="78" spans="1:8" x14ac:dyDescent="0.2">
      <c r="A78" t="s">
        <v>19</v>
      </c>
      <c r="B78" t="s">
        <v>40</v>
      </c>
      <c r="C78" s="14">
        <v>1988</v>
      </c>
      <c r="D78" t="str">
        <f t="shared" si="2"/>
        <v>yes</v>
      </c>
      <c r="E78">
        <f>COUNTIF($B$8:$B$1006,"Russian Federation")</f>
        <v>13</v>
      </c>
      <c r="F78" s="23"/>
      <c r="G78" s="3">
        <f t="shared" si="3"/>
        <v>1</v>
      </c>
      <c r="H78" s="14" t="s">
        <v>40</v>
      </c>
    </row>
    <row r="79" spans="1:8" x14ac:dyDescent="0.2">
      <c r="A79" t="s">
        <v>19</v>
      </c>
      <c r="B79" t="s">
        <v>42</v>
      </c>
      <c r="C79" s="14">
        <v>1988</v>
      </c>
      <c r="D79" t="str">
        <f t="shared" si="2"/>
        <v>yes</v>
      </c>
      <c r="E79">
        <f>COUNTIF($B$8:$B$1006,"Slovak Republic")</f>
        <v>9</v>
      </c>
      <c r="F79" s="23"/>
      <c r="G79" s="3">
        <f t="shared" si="3"/>
        <v>1</v>
      </c>
      <c r="H79" s="14" t="s">
        <v>42</v>
      </c>
    </row>
    <row r="80" spans="1:8" x14ac:dyDescent="0.2">
      <c r="A80" t="s">
        <v>19</v>
      </c>
      <c r="B80" t="s">
        <v>46</v>
      </c>
      <c r="C80" s="14">
        <v>1988</v>
      </c>
      <c r="D80" t="str">
        <f t="shared" si="2"/>
        <v>yes</v>
      </c>
      <c r="E80">
        <f>COUNTIF($B$8:$B$1006,"Turkmenistan")</f>
        <v>3</v>
      </c>
      <c r="F80" s="23"/>
      <c r="G80" s="3">
        <f t="shared" si="3"/>
        <v>1</v>
      </c>
      <c r="H80" s="14" t="s">
        <v>46</v>
      </c>
    </row>
    <row r="81" spans="1:8" x14ac:dyDescent="0.2">
      <c r="A81" t="s">
        <v>19</v>
      </c>
      <c r="B81" t="s">
        <v>47</v>
      </c>
      <c r="C81" s="14">
        <v>1988</v>
      </c>
      <c r="D81" t="str">
        <f t="shared" si="2"/>
        <v>yes</v>
      </c>
      <c r="E81">
        <f>COUNTIF($B$8:$B$1006,"Ukraine")</f>
        <v>13</v>
      </c>
      <c r="F81" s="23"/>
      <c r="G81" s="3">
        <f t="shared" si="3"/>
        <v>1</v>
      </c>
      <c r="H81" s="14" t="s">
        <v>47</v>
      </c>
    </row>
    <row r="82" spans="1:8" x14ac:dyDescent="0.2">
      <c r="A82" t="s">
        <v>49</v>
      </c>
      <c r="B82" t="s">
        <v>52</v>
      </c>
      <c r="C82" s="14">
        <v>1988</v>
      </c>
      <c r="D82" t="str">
        <f t="shared" si="2"/>
        <v>yes</v>
      </c>
      <c r="E82">
        <f>COUNTIF($B$8:$B$1006,"Brazil")</f>
        <v>26</v>
      </c>
      <c r="F82" s="23"/>
      <c r="G82" s="3" t="str">
        <f t="shared" si="3"/>
        <v/>
      </c>
      <c r="H82" s="14"/>
    </row>
    <row r="83" spans="1:8" x14ac:dyDescent="0.2">
      <c r="A83" t="s">
        <v>49</v>
      </c>
      <c r="B83" t="s">
        <v>54</v>
      </c>
      <c r="C83" s="14">
        <v>1988</v>
      </c>
      <c r="D83" t="str">
        <f t="shared" si="2"/>
        <v>yes</v>
      </c>
      <c r="E83">
        <f>COUNTIF($B$8:$B$1006,"Colombia")</f>
        <v>18</v>
      </c>
      <c r="F83" s="23"/>
      <c r="G83" s="3" t="str">
        <f t="shared" si="3"/>
        <v/>
      </c>
      <c r="H83" s="14"/>
    </row>
    <row r="84" spans="1:8" x14ac:dyDescent="0.2">
      <c r="A84" t="s">
        <v>49</v>
      </c>
      <c r="B84" t="s">
        <v>63</v>
      </c>
      <c r="C84" s="14">
        <v>1988</v>
      </c>
      <c r="D84" t="str">
        <f t="shared" si="2"/>
        <v>yes</v>
      </c>
      <c r="E84">
        <f>COUNTIF($B$8:$B$1006,"Jamaica")</f>
        <v>8</v>
      </c>
      <c r="F84" s="23"/>
      <c r="G84" s="3">
        <f t="shared" si="3"/>
        <v>1</v>
      </c>
      <c r="H84" s="14" t="s">
        <v>63</v>
      </c>
    </row>
    <row r="85" spans="1:8" x14ac:dyDescent="0.2">
      <c r="A85" t="s">
        <v>49</v>
      </c>
      <c r="B85" t="s">
        <v>71</v>
      </c>
      <c r="C85" s="14">
        <v>1988</v>
      </c>
      <c r="D85" t="str">
        <f t="shared" si="2"/>
        <v>yes</v>
      </c>
      <c r="E85">
        <f>COUNTIF($B$8:$B$1006,"Trinidad and Tobago")</f>
        <v>2</v>
      </c>
      <c r="F85" s="23"/>
      <c r="G85" s="3">
        <f t="shared" si="3"/>
        <v>1</v>
      </c>
      <c r="H85" s="14" t="s">
        <v>71</v>
      </c>
    </row>
    <row r="86" spans="1:8" x14ac:dyDescent="0.2">
      <c r="A86" t="s">
        <v>74</v>
      </c>
      <c r="B86" t="s">
        <v>75</v>
      </c>
      <c r="C86" s="14">
        <v>1988</v>
      </c>
      <c r="D86" t="str">
        <f t="shared" si="2"/>
        <v>yes</v>
      </c>
      <c r="E86">
        <f>COUNTIF($B$8:$B$1006,"Algeria")</f>
        <v>2</v>
      </c>
      <c r="F86" s="23"/>
      <c r="G86" s="3">
        <f t="shared" si="3"/>
        <v>1</v>
      </c>
      <c r="H86" s="14" t="s">
        <v>75</v>
      </c>
    </row>
    <row r="87" spans="1:8" x14ac:dyDescent="0.2">
      <c r="A87" t="s">
        <v>87</v>
      </c>
      <c r="B87" t="s">
        <v>89</v>
      </c>
      <c r="C87" s="14">
        <v>1988</v>
      </c>
      <c r="D87" t="str">
        <f t="shared" si="2"/>
        <v>yes</v>
      </c>
      <c r="E87">
        <f>COUNTIF($B$8:$B$1006,"India")</f>
        <v>5</v>
      </c>
      <c r="F87" s="23"/>
      <c r="G87" s="3" t="str">
        <f t="shared" si="3"/>
        <v/>
      </c>
      <c r="H87" s="14"/>
    </row>
    <row r="88" spans="1:8" x14ac:dyDescent="0.2">
      <c r="A88" t="s">
        <v>95</v>
      </c>
      <c r="B88" t="s">
        <v>107</v>
      </c>
      <c r="C88" s="14">
        <v>1988</v>
      </c>
      <c r="D88" t="str">
        <f t="shared" si="2"/>
        <v>yes</v>
      </c>
      <c r="E88">
        <f>COUNTIF($B$8:$B$1006,"Cote D'Ivoire")</f>
        <v>9</v>
      </c>
      <c r="F88" s="23"/>
      <c r="G88" s="3" t="str">
        <f t="shared" si="3"/>
        <v/>
      </c>
      <c r="H88" s="14"/>
    </row>
    <row r="89" spans="1:8" x14ac:dyDescent="0.2">
      <c r="A89" t="s">
        <v>95</v>
      </c>
      <c r="B89" t="s">
        <v>111</v>
      </c>
      <c r="C89" s="14">
        <v>1988</v>
      </c>
      <c r="D89" t="str">
        <f t="shared" si="2"/>
        <v>yes</v>
      </c>
      <c r="E89">
        <f>COUNTIF($B$8:$B$1006,"Ghana")</f>
        <v>5</v>
      </c>
      <c r="F89" s="23"/>
      <c r="G89" s="3">
        <f t="shared" si="3"/>
        <v>1</v>
      </c>
      <c r="H89" s="14" t="s">
        <v>111</v>
      </c>
    </row>
    <row r="90" spans="1:8" x14ac:dyDescent="0.2">
      <c r="A90" t="s">
        <v>4</v>
      </c>
      <c r="B90" t="s">
        <v>12</v>
      </c>
      <c r="C90" s="14">
        <v>1989</v>
      </c>
      <c r="D90" t="str">
        <f t="shared" si="2"/>
        <v>yes</v>
      </c>
      <c r="E90">
        <f>COUNTIF($B$8:$B$1006,"Malaysia")</f>
        <v>9</v>
      </c>
      <c r="F90" s="23"/>
      <c r="G90" s="3" t="str">
        <f t="shared" si="3"/>
        <v/>
      </c>
      <c r="H90" s="14"/>
    </row>
    <row r="91" spans="1:8" x14ac:dyDescent="0.2">
      <c r="A91" t="s">
        <v>19</v>
      </c>
      <c r="B91" t="s">
        <v>25</v>
      </c>
      <c r="C91" s="14">
        <v>1989</v>
      </c>
      <c r="D91" t="str">
        <f t="shared" si="2"/>
        <v>yes</v>
      </c>
      <c r="E91">
        <f>COUNTIF($B$8:$B$1006,"Bulgaria")</f>
        <v>8</v>
      </c>
      <c r="F91" s="23"/>
      <c r="G91" s="3">
        <f t="shared" si="3"/>
        <v>1</v>
      </c>
      <c r="H91" s="14" t="s">
        <v>25</v>
      </c>
    </row>
    <row r="92" spans="1:8" x14ac:dyDescent="0.2">
      <c r="A92" t="s">
        <v>19</v>
      </c>
      <c r="B92" t="s">
        <v>30</v>
      </c>
      <c r="C92" s="14">
        <v>1989</v>
      </c>
      <c r="D92" t="str">
        <f t="shared" si="2"/>
        <v>yes</v>
      </c>
      <c r="E92">
        <f>COUNTIF($B$8:$B$1006,"Hungary")</f>
        <v>10</v>
      </c>
      <c r="F92" s="23"/>
      <c r="G92" s="3" t="str">
        <f t="shared" si="3"/>
        <v/>
      </c>
      <c r="H92" s="14"/>
    </row>
    <row r="93" spans="1:8" x14ac:dyDescent="0.2">
      <c r="A93" t="s">
        <v>19</v>
      </c>
      <c r="B93" t="s">
        <v>38</v>
      </c>
      <c r="C93" s="14">
        <v>1989</v>
      </c>
      <c r="D93" t="str">
        <f t="shared" si="2"/>
        <v>yes</v>
      </c>
      <c r="E93">
        <f>COUNTIF($B$8:$B$1006,"Poland")</f>
        <v>17</v>
      </c>
      <c r="F93" s="23"/>
      <c r="G93" s="3" t="str">
        <f t="shared" si="3"/>
        <v/>
      </c>
      <c r="H93" s="14"/>
    </row>
    <row r="94" spans="1:8" x14ac:dyDescent="0.2">
      <c r="A94" t="s">
        <v>19</v>
      </c>
      <c r="B94" t="s">
        <v>39</v>
      </c>
      <c r="C94" s="14">
        <v>1989</v>
      </c>
      <c r="D94" t="str">
        <f t="shared" si="2"/>
        <v>yes</v>
      </c>
      <c r="E94">
        <f>COUNTIF($B$8:$B$1006,"Romania")</f>
        <v>14</v>
      </c>
      <c r="F94" s="23"/>
      <c r="G94" s="3">
        <f t="shared" si="3"/>
        <v>1</v>
      </c>
      <c r="H94" s="14" t="s">
        <v>39</v>
      </c>
    </row>
    <row r="95" spans="1:8" x14ac:dyDescent="0.2">
      <c r="A95" t="s">
        <v>49</v>
      </c>
      <c r="B95" t="s">
        <v>52</v>
      </c>
      <c r="C95" s="14">
        <v>1989</v>
      </c>
      <c r="D95" t="str">
        <f t="shared" si="2"/>
        <v>yes</v>
      </c>
      <c r="E95">
        <f>COUNTIF($B$8:$B$1006,"Brazil")</f>
        <v>26</v>
      </c>
      <c r="F95" s="23"/>
      <c r="G95" s="3" t="str">
        <f t="shared" si="3"/>
        <v/>
      </c>
      <c r="H95" s="14"/>
    </row>
    <row r="96" spans="1:8" x14ac:dyDescent="0.2">
      <c r="A96" t="s">
        <v>49</v>
      </c>
      <c r="B96" t="s">
        <v>54</v>
      </c>
      <c r="C96" s="14">
        <v>1989</v>
      </c>
      <c r="D96" t="str">
        <f t="shared" si="2"/>
        <v>yes</v>
      </c>
      <c r="E96">
        <f>COUNTIF($B$8:$B$1006,"Colombia")</f>
        <v>18</v>
      </c>
      <c r="F96" s="23"/>
      <c r="G96" s="3" t="str">
        <f t="shared" si="3"/>
        <v/>
      </c>
      <c r="H96" s="14"/>
    </row>
    <row r="97" spans="1:8" x14ac:dyDescent="0.2">
      <c r="A97" t="s">
        <v>49</v>
      </c>
      <c r="B97" t="s">
        <v>55</v>
      </c>
      <c r="C97" s="14">
        <v>1989</v>
      </c>
      <c r="D97" t="str">
        <f t="shared" si="2"/>
        <v>yes</v>
      </c>
      <c r="E97">
        <f>COUNTIF($B$8:$B$1006,"Costa Rica")</f>
        <v>23</v>
      </c>
      <c r="F97" s="23"/>
      <c r="G97" s="3" t="str">
        <f t="shared" si="3"/>
        <v/>
      </c>
      <c r="H97" s="14"/>
    </row>
    <row r="98" spans="1:8" x14ac:dyDescent="0.2">
      <c r="A98" t="s">
        <v>49</v>
      </c>
      <c r="B98" t="s">
        <v>56</v>
      </c>
      <c r="C98" s="14">
        <v>1989</v>
      </c>
      <c r="D98" t="str">
        <f t="shared" si="2"/>
        <v>yes</v>
      </c>
      <c r="E98">
        <f>COUNTIF($B$8:$B$1006,"Dominican Republic")</f>
        <v>16</v>
      </c>
      <c r="F98" s="23"/>
      <c r="G98" s="3" t="str">
        <f t="shared" si="3"/>
        <v/>
      </c>
      <c r="H98" s="14"/>
    </row>
    <row r="99" spans="1:8" x14ac:dyDescent="0.2">
      <c r="A99" t="s">
        <v>49</v>
      </c>
      <c r="B99" t="s">
        <v>58</v>
      </c>
      <c r="C99" s="14">
        <v>1989</v>
      </c>
      <c r="D99" t="str">
        <f t="shared" si="2"/>
        <v>yes</v>
      </c>
      <c r="E99">
        <f>COUNTIF($B$8:$B$1006,"El Salvador")</f>
        <v>15</v>
      </c>
      <c r="F99" s="23"/>
      <c r="G99" s="3">
        <f t="shared" si="3"/>
        <v>1</v>
      </c>
      <c r="H99" s="14" t="s">
        <v>58</v>
      </c>
    </row>
    <row r="100" spans="1:8" x14ac:dyDescent="0.2">
      <c r="A100" t="s">
        <v>49</v>
      </c>
      <c r="B100" t="s">
        <v>59</v>
      </c>
      <c r="C100" s="14">
        <v>1989</v>
      </c>
      <c r="D100" t="str">
        <f t="shared" si="2"/>
        <v>yes</v>
      </c>
      <c r="E100">
        <f>COUNTIF($B$8:$B$1006,"Guatemala")</f>
        <v>8</v>
      </c>
      <c r="F100" s="23"/>
      <c r="G100" s="3" t="str">
        <f t="shared" si="3"/>
        <v/>
      </c>
      <c r="H100" s="14"/>
    </row>
    <row r="101" spans="1:8" x14ac:dyDescent="0.2">
      <c r="A101" t="s">
        <v>49</v>
      </c>
      <c r="B101" t="s">
        <v>62</v>
      </c>
      <c r="C101" s="14">
        <v>1989</v>
      </c>
      <c r="D101" t="str">
        <f t="shared" si="2"/>
        <v>yes</v>
      </c>
      <c r="E101">
        <f>COUNTIF($B$8:$B$1006,"Honduras")</f>
        <v>21</v>
      </c>
      <c r="F101" s="23"/>
      <c r="G101" s="3" t="str">
        <f t="shared" si="3"/>
        <v/>
      </c>
      <c r="H101" s="14"/>
    </row>
    <row r="102" spans="1:8" x14ac:dyDescent="0.2">
      <c r="A102" t="s">
        <v>49</v>
      </c>
      <c r="B102" t="s">
        <v>64</v>
      </c>
      <c r="C102" s="14">
        <v>1989</v>
      </c>
      <c r="D102" t="str">
        <f t="shared" si="2"/>
        <v>yes</v>
      </c>
      <c r="E102">
        <f>COUNTIF($B$8:$B$1006,"Mexico")</f>
        <v>13</v>
      </c>
      <c r="F102" s="23"/>
      <c r="G102" s="3" t="str">
        <f t="shared" si="3"/>
        <v/>
      </c>
      <c r="H102" s="14"/>
    </row>
    <row r="103" spans="1:8" x14ac:dyDescent="0.2">
      <c r="A103" t="s">
        <v>49</v>
      </c>
      <c r="B103" t="s">
        <v>66</v>
      </c>
      <c r="C103" s="14">
        <v>1989</v>
      </c>
      <c r="D103" t="str">
        <f t="shared" si="2"/>
        <v>yes</v>
      </c>
      <c r="E103">
        <f>COUNTIF($B$8:$B$1006,"Panama")</f>
        <v>13</v>
      </c>
      <c r="F103" s="23"/>
      <c r="G103" s="3">
        <f t="shared" si="3"/>
        <v>1</v>
      </c>
      <c r="H103" s="14" t="s">
        <v>66</v>
      </c>
    </row>
    <row r="104" spans="1:8" x14ac:dyDescent="0.2">
      <c r="A104" t="s">
        <v>49</v>
      </c>
      <c r="B104" t="s">
        <v>72</v>
      </c>
      <c r="C104" s="14">
        <v>1989</v>
      </c>
      <c r="D104" t="str">
        <f t="shared" si="2"/>
        <v>yes</v>
      </c>
      <c r="E104">
        <f>COUNTIF($B$8:$B$1006,"Uruguay")</f>
        <v>18</v>
      </c>
      <c r="F104" s="23"/>
      <c r="G104" s="3">
        <f t="shared" si="3"/>
        <v>1</v>
      </c>
      <c r="H104" s="14" t="s">
        <v>135</v>
      </c>
    </row>
    <row r="105" spans="1:8" x14ac:dyDescent="0.2">
      <c r="A105" t="s">
        <v>49</v>
      </c>
      <c r="B105" t="s">
        <v>73</v>
      </c>
      <c r="C105" s="14">
        <v>1989</v>
      </c>
      <c r="D105" t="str">
        <f t="shared" si="2"/>
        <v>yes</v>
      </c>
      <c r="E105">
        <f>COUNTIF($B$8:$B$1006,"Venezuela")</f>
        <v>13</v>
      </c>
      <c r="F105" s="23"/>
      <c r="G105" s="3" t="str">
        <f t="shared" si="3"/>
        <v/>
      </c>
      <c r="H105" s="14"/>
    </row>
    <row r="106" spans="1:8" x14ac:dyDescent="0.2">
      <c r="A106" t="s">
        <v>87</v>
      </c>
      <c r="B106" t="s">
        <v>86</v>
      </c>
      <c r="C106" s="14">
        <v>1989</v>
      </c>
      <c r="D106" t="str">
        <f t="shared" si="2"/>
        <v>yes</v>
      </c>
      <c r="E106">
        <f>COUNTIF($B$8:$B$1006,"Bangladesh")</f>
        <v>8</v>
      </c>
      <c r="F106" s="23"/>
      <c r="G106" s="3" t="str">
        <f t="shared" si="3"/>
        <v/>
      </c>
      <c r="H106" s="14"/>
    </row>
    <row r="107" spans="1:8" x14ac:dyDescent="0.2">
      <c r="A107" t="s">
        <v>95</v>
      </c>
      <c r="B107" t="s">
        <v>111</v>
      </c>
      <c r="C107" s="14">
        <v>1989</v>
      </c>
      <c r="D107" t="str">
        <f t="shared" si="2"/>
        <v>yes</v>
      </c>
      <c r="E107">
        <f>COUNTIF($B$8:$B$1006,"Ghana")</f>
        <v>5</v>
      </c>
      <c r="F107" s="23"/>
      <c r="G107" s="3" t="str">
        <f t="shared" si="3"/>
        <v/>
      </c>
      <c r="H107" s="14"/>
    </row>
    <row r="108" spans="1:8" x14ac:dyDescent="0.2">
      <c r="A108" t="s">
        <v>95</v>
      </c>
      <c r="B108" t="s">
        <v>135</v>
      </c>
      <c r="C108" s="14">
        <v>1989</v>
      </c>
      <c r="D108" t="str">
        <f t="shared" si="2"/>
        <v>yes</v>
      </c>
      <c r="E108">
        <f>COUNTIF($B$8:$B$1006,"Uganda")</f>
        <v>7</v>
      </c>
      <c r="F108" s="23"/>
      <c r="G108" s="3" t="str">
        <f t="shared" si="3"/>
        <v/>
      </c>
      <c r="H108" s="14"/>
    </row>
    <row r="109" spans="1:8" x14ac:dyDescent="0.2">
      <c r="A109" t="s">
        <v>4</v>
      </c>
      <c r="B109" t="s">
        <v>7</v>
      </c>
      <c r="C109" s="14">
        <v>1990</v>
      </c>
      <c r="D109" t="str">
        <f t="shared" si="2"/>
        <v>yes</v>
      </c>
      <c r="E109">
        <f>COUNTIF($B$8:$B$1006,"China")</f>
        <v>17</v>
      </c>
      <c r="F109" s="23"/>
      <c r="G109" s="3" t="str">
        <f t="shared" si="3"/>
        <v/>
      </c>
      <c r="H109" s="14"/>
    </row>
    <row r="110" spans="1:8" x14ac:dyDescent="0.2">
      <c r="A110" t="s">
        <v>4</v>
      </c>
      <c r="B110" t="s">
        <v>10</v>
      </c>
      <c r="C110" s="14">
        <v>1990</v>
      </c>
      <c r="D110" t="str">
        <f t="shared" si="2"/>
        <v>yes</v>
      </c>
      <c r="E110">
        <f>COUNTIF($B$8:$B$1006,"Indonesia")</f>
        <v>14</v>
      </c>
      <c r="F110" s="23"/>
      <c r="G110" s="3" t="str">
        <f t="shared" si="3"/>
        <v/>
      </c>
      <c r="H110" s="14"/>
    </row>
    <row r="111" spans="1:8" x14ac:dyDescent="0.2">
      <c r="A111" t="s">
        <v>4</v>
      </c>
      <c r="B111" t="s">
        <v>16</v>
      </c>
      <c r="C111" s="14">
        <v>1990</v>
      </c>
      <c r="D111" t="str">
        <f t="shared" si="2"/>
        <v>yes</v>
      </c>
      <c r="E111">
        <f>COUNTIF($B$8:$B$1006,"Thailand")</f>
        <v>13</v>
      </c>
      <c r="F111" s="23"/>
      <c r="G111" s="3" t="str">
        <f t="shared" si="3"/>
        <v/>
      </c>
      <c r="H111" s="14"/>
    </row>
    <row r="112" spans="1:8" x14ac:dyDescent="0.2">
      <c r="A112" t="s">
        <v>49</v>
      </c>
      <c r="B112" t="s">
        <v>52</v>
      </c>
      <c r="C112" s="14">
        <v>1990</v>
      </c>
      <c r="D112" t="str">
        <f t="shared" si="2"/>
        <v>yes</v>
      </c>
      <c r="E112">
        <f>COUNTIF($B$8:$B$1006,"Brazil")</f>
        <v>26</v>
      </c>
      <c r="F112" s="23"/>
      <c r="G112" s="3" t="str">
        <f t="shared" si="3"/>
        <v/>
      </c>
      <c r="H112" s="14"/>
    </row>
    <row r="113" spans="1:8" x14ac:dyDescent="0.2">
      <c r="A113" t="s">
        <v>49</v>
      </c>
      <c r="B113" t="s">
        <v>53</v>
      </c>
      <c r="C113" s="14">
        <v>1990</v>
      </c>
      <c r="D113" t="str">
        <f t="shared" si="2"/>
        <v>yes</v>
      </c>
      <c r="E113">
        <f>COUNTIF($B$8:$B$1006,"Chile")</f>
        <v>10</v>
      </c>
      <c r="F113" s="23"/>
      <c r="G113" s="3" t="str">
        <f t="shared" si="3"/>
        <v/>
      </c>
      <c r="H113" s="14"/>
    </row>
    <row r="114" spans="1:8" x14ac:dyDescent="0.2">
      <c r="A114" t="s">
        <v>49</v>
      </c>
      <c r="B114" t="s">
        <v>55</v>
      </c>
      <c r="C114" s="14">
        <v>1990</v>
      </c>
      <c r="D114" t="str">
        <f t="shared" si="2"/>
        <v>yes</v>
      </c>
      <c r="E114">
        <f>COUNTIF($B$8:$B$1006,"Costa Rica")</f>
        <v>23</v>
      </c>
      <c r="F114" s="23"/>
      <c r="G114" s="3" t="str">
        <f t="shared" si="3"/>
        <v/>
      </c>
      <c r="H114" s="14"/>
    </row>
    <row r="115" spans="1:8" x14ac:dyDescent="0.2">
      <c r="A115" t="s">
        <v>49</v>
      </c>
      <c r="B115" t="s">
        <v>62</v>
      </c>
      <c r="C115" s="14">
        <v>1990</v>
      </c>
      <c r="D115" t="str">
        <f t="shared" si="2"/>
        <v>yes</v>
      </c>
      <c r="E115">
        <f>COUNTIF($B$8:$B$1006,"Honduras")</f>
        <v>21</v>
      </c>
      <c r="F115" s="23"/>
      <c r="G115" s="3" t="str">
        <f t="shared" si="3"/>
        <v/>
      </c>
      <c r="H115" s="14"/>
    </row>
    <row r="116" spans="1:8" x14ac:dyDescent="0.2">
      <c r="A116" t="s">
        <v>49</v>
      </c>
      <c r="B116" t="s">
        <v>63</v>
      </c>
      <c r="C116" s="14">
        <v>1990</v>
      </c>
      <c r="D116" t="str">
        <f t="shared" si="2"/>
        <v>yes</v>
      </c>
      <c r="E116">
        <f>COUNTIF($B$8:$B$1006,"Jamaica")</f>
        <v>8</v>
      </c>
      <c r="F116" s="23"/>
      <c r="G116" s="3" t="str">
        <f t="shared" si="3"/>
        <v/>
      </c>
      <c r="H116" s="14"/>
    </row>
    <row r="117" spans="1:8" x14ac:dyDescent="0.2">
      <c r="A117" t="s">
        <v>49</v>
      </c>
      <c r="B117" t="s">
        <v>67</v>
      </c>
      <c r="C117" s="14">
        <v>1990</v>
      </c>
      <c r="D117" t="str">
        <f t="shared" si="2"/>
        <v>yes</v>
      </c>
      <c r="E117">
        <f>COUNTIF($B$8:$B$1006,"Paraguay")</f>
        <v>14</v>
      </c>
      <c r="F117" s="23"/>
      <c r="G117" s="3">
        <f t="shared" si="3"/>
        <v>1</v>
      </c>
      <c r="H117" s="14" t="s">
        <v>67</v>
      </c>
    </row>
    <row r="118" spans="1:8" x14ac:dyDescent="0.2">
      <c r="A118" t="s">
        <v>74</v>
      </c>
      <c r="B118" t="s">
        <v>78</v>
      </c>
      <c r="C118" s="14">
        <v>1990</v>
      </c>
      <c r="D118" t="str">
        <f t="shared" si="2"/>
        <v>yes</v>
      </c>
      <c r="E118">
        <f>COUNTIF($B$8:$B$1006,"Iran")</f>
        <v>5</v>
      </c>
      <c r="F118" s="23"/>
      <c r="G118" s="3" t="str">
        <f t="shared" si="3"/>
        <v/>
      </c>
      <c r="H118" s="14"/>
    </row>
    <row r="119" spans="1:8" x14ac:dyDescent="0.2">
      <c r="A119" t="s">
        <v>74</v>
      </c>
      <c r="B119" t="s">
        <v>83</v>
      </c>
      <c r="C119" s="14">
        <v>1990</v>
      </c>
      <c r="D119" t="str">
        <f t="shared" si="2"/>
        <v>yes</v>
      </c>
      <c r="E119">
        <f>COUNTIF($B$8:$B$1006,"Tunisia")</f>
        <v>5</v>
      </c>
      <c r="F119" s="23"/>
      <c r="G119" s="3" t="str">
        <f t="shared" si="3"/>
        <v/>
      </c>
      <c r="H119" s="14"/>
    </row>
    <row r="120" spans="1:8" x14ac:dyDescent="0.2">
      <c r="A120" t="s">
        <v>95</v>
      </c>
      <c r="B120" t="s">
        <v>129</v>
      </c>
      <c r="C120" s="14">
        <v>1990</v>
      </c>
      <c r="D120" t="str">
        <f t="shared" si="2"/>
        <v>yes</v>
      </c>
      <c r="E120">
        <f>COUNTIF($B$8:$B$1006,"Sierra Leone")</f>
        <v>2</v>
      </c>
      <c r="F120" s="23"/>
      <c r="G120" s="3">
        <f t="shared" si="3"/>
        <v>1</v>
      </c>
      <c r="H120" s="14" t="s">
        <v>129</v>
      </c>
    </row>
    <row r="121" spans="1:8" x14ac:dyDescent="0.2">
      <c r="A121" t="s">
        <v>4</v>
      </c>
      <c r="B121" t="s">
        <v>15</v>
      </c>
      <c r="C121" s="14">
        <v>1991</v>
      </c>
      <c r="D121" t="str">
        <f t="shared" si="2"/>
        <v>yes</v>
      </c>
      <c r="E121">
        <f>COUNTIF($B$8:$B$1006,"Philippines")</f>
        <v>9</v>
      </c>
      <c r="F121" s="23"/>
      <c r="G121" s="3" t="str">
        <f t="shared" si="3"/>
        <v/>
      </c>
      <c r="H121" s="14"/>
    </row>
    <row r="122" spans="1:8" x14ac:dyDescent="0.2">
      <c r="A122" t="s">
        <v>49</v>
      </c>
      <c r="B122" t="s">
        <v>48</v>
      </c>
      <c r="C122" s="14">
        <v>1991</v>
      </c>
      <c r="D122" t="str">
        <f t="shared" si="2"/>
        <v>yes</v>
      </c>
      <c r="E122">
        <f>COUNTIF($B$8:$B$1006,"Argentina")</f>
        <v>22</v>
      </c>
      <c r="F122" s="23"/>
      <c r="G122" s="3" t="str">
        <f t="shared" si="3"/>
        <v/>
      </c>
      <c r="H122" s="14"/>
    </row>
    <row r="123" spans="1:8" x14ac:dyDescent="0.2">
      <c r="A123" t="s">
        <v>49</v>
      </c>
      <c r="B123" t="s">
        <v>51</v>
      </c>
      <c r="C123" s="14">
        <v>1991</v>
      </c>
      <c r="D123" t="str">
        <f t="shared" si="2"/>
        <v>yes</v>
      </c>
      <c r="E123">
        <f>COUNTIF($B$8:$B$1006,"Bolivia")</f>
        <v>11</v>
      </c>
      <c r="F123" s="23"/>
      <c r="G123" s="3">
        <f t="shared" si="3"/>
        <v>1</v>
      </c>
      <c r="H123" s="14" t="s">
        <v>51</v>
      </c>
    </row>
    <row r="124" spans="1:8" x14ac:dyDescent="0.2">
      <c r="A124" t="s">
        <v>49</v>
      </c>
      <c r="B124" t="s">
        <v>54</v>
      </c>
      <c r="C124" s="14">
        <v>1991</v>
      </c>
      <c r="D124" t="str">
        <f t="shared" si="2"/>
        <v>yes</v>
      </c>
      <c r="E124">
        <f>COUNTIF($B$8:$B$1006,"Colombia")</f>
        <v>18</v>
      </c>
      <c r="F124" s="23"/>
      <c r="G124" s="3" t="str">
        <f t="shared" si="3"/>
        <v/>
      </c>
      <c r="H124" s="14"/>
    </row>
    <row r="125" spans="1:8" x14ac:dyDescent="0.2">
      <c r="A125" t="s">
        <v>49</v>
      </c>
      <c r="B125" t="s">
        <v>55</v>
      </c>
      <c r="C125" s="14">
        <v>1991</v>
      </c>
      <c r="D125" t="str">
        <f t="shared" si="2"/>
        <v>yes</v>
      </c>
      <c r="E125">
        <f>COUNTIF($B$8:$B$1006,"Costa Rica")</f>
        <v>23</v>
      </c>
      <c r="F125" s="23"/>
      <c r="G125" s="3" t="str">
        <f t="shared" si="3"/>
        <v/>
      </c>
      <c r="H125" s="14"/>
    </row>
    <row r="126" spans="1:8" x14ac:dyDescent="0.2">
      <c r="A126" t="s">
        <v>49</v>
      </c>
      <c r="B126" t="s">
        <v>58</v>
      </c>
      <c r="C126" s="14">
        <v>1991</v>
      </c>
      <c r="D126" t="str">
        <f t="shared" si="2"/>
        <v>yes</v>
      </c>
      <c r="E126">
        <f>COUNTIF($B$8:$B$1006,"El Salvador")</f>
        <v>15</v>
      </c>
      <c r="F126" s="23"/>
      <c r="G126" s="3" t="str">
        <f t="shared" si="3"/>
        <v/>
      </c>
      <c r="H126" s="14"/>
    </row>
    <row r="127" spans="1:8" x14ac:dyDescent="0.2">
      <c r="A127" t="s">
        <v>49</v>
      </c>
      <c r="B127" t="s">
        <v>62</v>
      </c>
      <c r="C127" s="14">
        <v>1991</v>
      </c>
      <c r="D127" t="str">
        <f t="shared" si="2"/>
        <v>yes</v>
      </c>
      <c r="E127">
        <f>COUNTIF($B$8:$B$1006,"Honduras")</f>
        <v>21</v>
      </c>
      <c r="F127" s="23"/>
      <c r="G127" s="3" t="str">
        <f t="shared" si="3"/>
        <v/>
      </c>
      <c r="H127" s="14"/>
    </row>
    <row r="128" spans="1:8" x14ac:dyDescent="0.2">
      <c r="A128" t="s">
        <v>49</v>
      </c>
      <c r="B128" t="s">
        <v>66</v>
      </c>
      <c r="C128" s="14">
        <v>1991</v>
      </c>
      <c r="D128" t="str">
        <f t="shared" si="2"/>
        <v>yes</v>
      </c>
      <c r="E128">
        <f>COUNTIF($B$8:$B$1006,"Panama")</f>
        <v>13</v>
      </c>
      <c r="F128" s="23"/>
      <c r="G128" s="3" t="str">
        <f t="shared" si="3"/>
        <v/>
      </c>
      <c r="H128" s="14"/>
    </row>
    <row r="129" spans="1:8" x14ac:dyDescent="0.2">
      <c r="A129" t="s">
        <v>74</v>
      </c>
      <c r="B129" t="s">
        <v>77</v>
      </c>
      <c r="C129" s="14">
        <v>1991</v>
      </c>
      <c r="D129" t="str">
        <f t="shared" si="2"/>
        <v>yes</v>
      </c>
      <c r="E129">
        <f>COUNTIF($B$8:$B$1006,"Egypt")</f>
        <v>5</v>
      </c>
      <c r="F129" s="23"/>
      <c r="G129" s="3">
        <f t="shared" si="3"/>
        <v>1</v>
      </c>
      <c r="H129" s="14" t="s">
        <v>77</v>
      </c>
    </row>
    <row r="130" spans="1:8" x14ac:dyDescent="0.2">
      <c r="A130" t="s">
        <v>74</v>
      </c>
      <c r="B130" t="s">
        <v>81</v>
      </c>
      <c r="C130" s="14">
        <v>1991</v>
      </c>
      <c r="D130" t="str">
        <f t="shared" si="2"/>
        <v>yes</v>
      </c>
      <c r="E130">
        <f>COUNTIF($B$8:$B$1006,"Morocco")</f>
        <v>5</v>
      </c>
      <c r="F130" s="23"/>
      <c r="G130" s="3" t="str">
        <f t="shared" si="3"/>
        <v/>
      </c>
      <c r="H130" s="14"/>
    </row>
    <row r="131" spans="1:8" x14ac:dyDescent="0.2">
      <c r="A131" t="s">
        <v>87</v>
      </c>
      <c r="B131" t="s">
        <v>92</v>
      </c>
      <c r="C131" s="14">
        <v>1991</v>
      </c>
      <c r="D131" t="str">
        <f t="shared" si="2"/>
        <v>yes</v>
      </c>
      <c r="E131">
        <f>COUNTIF($B$8:$B$1006,"Pakistan")</f>
        <v>8</v>
      </c>
      <c r="F131" s="23"/>
      <c r="G131" s="3" t="str">
        <f t="shared" si="3"/>
        <v/>
      </c>
      <c r="H131" s="14"/>
    </row>
    <row r="132" spans="1:8" x14ac:dyDescent="0.2">
      <c r="A132" t="s">
        <v>87</v>
      </c>
      <c r="B132" t="s">
        <v>93</v>
      </c>
      <c r="C132" s="14">
        <v>1991</v>
      </c>
      <c r="D132" t="str">
        <f t="shared" si="2"/>
        <v>yes</v>
      </c>
      <c r="E132">
        <f>COUNTIF($B$8:$B$1006,"Sri Lanka")</f>
        <v>5</v>
      </c>
      <c r="F132" s="23"/>
      <c r="G132" s="3" t="str">
        <f t="shared" si="3"/>
        <v/>
      </c>
      <c r="H132" s="14"/>
    </row>
    <row r="133" spans="1:8" x14ac:dyDescent="0.2">
      <c r="A133" t="s">
        <v>95</v>
      </c>
      <c r="B133" t="s">
        <v>112</v>
      </c>
      <c r="C133" s="14">
        <v>1991</v>
      </c>
      <c r="D133" t="str">
        <f t="shared" si="2"/>
        <v>yes</v>
      </c>
      <c r="E133">
        <f>COUNTIF($B$8:$B$1006,"Guinea")</f>
        <v>4</v>
      </c>
      <c r="F133" s="23"/>
      <c r="G133" s="3">
        <f t="shared" si="3"/>
        <v>1</v>
      </c>
      <c r="H133" s="14" t="s">
        <v>112</v>
      </c>
    </row>
    <row r="134" spans="1:8" x14ac:dyDescent="0.2">
      <c r="A134" t="s">
        <v>95</v>
      </c>
      <c r="B134" t="s">
        <v>113</v>
      </c>
      <c r="C134" s="14">
        <v>1991</v>
      </c>
      <c r="D134" t="str">
        <f t="shared" si="2"/>
        <v>yes</v>
      </c>
      <c r="E134">
        <f>COUNTIF($B$8:$B$1006,"Guinea-Bissau")</f>
        <v>3</v>
      </c>
      <c r="F134" s="23"/>
      <c r="G134" s="3">
        <f t="shared" si="3"/>
        <v>1</v>
      </c>
      <c r="H134" s="14" t="s">
        <v>113</v>
      </c>
    </row>
    <row r="135" spans="1:8" x14ac:dyDescent="0.2">
      <c r="A135" t="s">
        <v>95</v>
      </c>
      <c r="B135" t="s">
        <v>127</v>
      </c>
      <c r="C135" s="14">
        <v>1991</v>
      </c>
      <c r="D135" t="str">
        <f t="shared" si="2"/>
        <v>yes</v>
      </c>
      <c r="E135">
        <f>COUNTIF($B$8:$B$1006,"Senegal")</f>
        <v>4</v>
      </c>
      <c r="F135" s="23"/>
      <c r="G135" s="3">
        <f t="shared" si="3"/>
        <v>1</v>
      </c>
      <c r="H135" s="14" t="s">
        <v>127</v>
      </c>
    </row>
    <row r="136" spans="1:8" x14ac:dyDescent="0.2">
      <c r="A136" t="s">
        <v>95</v>
      </c>
      <c r="B136" t="s">
        <v>136</v>
      </c>
      <c r="C136" s="14">
        <v>1991</v>
      </c>
      <c r="D136" t="str">
        <f t="shared" ref="D136:D199" si="4">IF(F136="LSMS","no","yes")</f>
        <v>yes</v>
      </c>
      <c r="E136">
        <f>COUNTIF($B$8:$B$1006,"Zambia")</f>
        <v>7</v>
      </c>
      <c r="F136" s="23"/>
      <c r="G136" s="3">
        <f t="shared" ref="G136:G199" si="5">IF(H136="","",1)</f>
        <v>1</v>
      </c>
      <c r="H136" s="14" t="s">
        <v>136</v>
      </c>
    </row>
    <row r="137" spans="1:8" x14ac:dyDescent="0.2">
      <c r="A137" t="s">
        <v>4</v>
      </c>
      <c r="B137" t="s">
        <v>7</v>
      </c>
      <c r="C137" s="14">
        <v>1992</v>
      </c>
      <c r="D137" t="str">
        <f t="shared" si="4"/>
        <v>yes</v>
      </c>
      <c r="E137">
        <f>COUNTIF($B$8:$B$1006,"China")</f>
        <v>17</v>
      </c>
      <c r="F137" s="23"/>
      <c r="G137" s="3" t="str">
        <f t="shared" si="5"/>
        <v/>
      </c>
      <c r="H137" s="14"/>
    </row>
    <row r="138" spans="1:8" x14ac:dyDescent="0.2">
      <c r="A138" t="s">
        <v>4</v>
      </c>
      <c r="B138" t="s">
        <v>11</v>
      </c>
      <c r="C138" s="14">
        <v>1992</v>
      </c>
      <c r="D138" t="str">
        <f t="shared" si="4"/>
        <v>yes</v>
      </c>
      <c r="E138">
        <f>COUNTIF($B$8:$B$1006,"Lao PDR")</f>
        <v>4</v>
      </c>
      <c r="F138" s="23"/>
      <c r="G138" s="3">
        <f t="shared" si="5"/>
        <v>1</v>
      </c>
      <c r="H138" s="14" t="s">
        <v>11</v>
      </c>
    </row>
    <row r="139" spans="1:8" x14ac:dyDescent="0.2">
      <c r="A139" t="s">
        <v>4</v>
      </c>
      <c r="B139" t="s">
        <v>12</v>
      </c>
      <c r="C139" s="14">
        <v>1992</v>
      </c>
      <c r="D139" t="str">
        <f t="shared" si="4"/>
        <v>yes</v>
      </c>
      <c r="E139">
        <f>COUNTIF($B$8:$B$1006,"Malaysia")</f>
        <v>9</v>
      </c>
      <c r="F139" s="23"/>
      <c r="G139" s="3" t="str">
        <f t="shared" si="5"/>
        <v/>
      </c>
      <c r="H139" s="14"/>
    </row>
    <row r="140" spans="1:8" x14ac:dyDescent="0.2">
      <c r="A140" t="s">
        <v>4</v>
      </c>
      <c r="B140" t="s">
        <v>16</v>
      </c>
      <c r="C140" s="14">
        <v>1992</v>
      </c>
      <c r="D140" t="str">
        <f t="shared" si="4"/>
        <v>yes</v>
      </c>
      <c r="E140">
        <f>COUNTIF($B$8:$B$1006,"Thailand")</f>
        <v>13</v>
      </c>
      <c r="F140" s="23"/>
      <c r="G140" s="3" t="str">
        <f t="shared" si="5"/>
        <v/>
      </c>
      <c r="H140" s="14"/>
    </row>
    <row r="141" spans="1:8" x14ac:dyDescent="0.2">
      <c r="A141" t="s">
        <v>19</v>
      </c>
      <c r="B141" t="s">
        <v>25</v>
      </c>
      <c r="C141" s="14">
        <v>1992</v>
      </c>
      <c r="D141" t="str">
        <f t="shared" si="4"/>
        <v>yes</v>
      </c>
      <c r="E141">
        <f>COUNTIF($B$8:$B$1006,"Bulgaria")</f>
        <v>8</v>
      </c>
      <c r="F141" s="23"/>
      <c r="G141" s="3" t="str">
        <f t="shared" si="5"/>
        <v/>
      </c>
      <c r="H141" s="14"/>
    </row>
    <row r="142" spans="1:8" x14ac:dyDescent="0.2">
      <c r="A142" t="s">
        <v>19</v>
      </c>
      <c r="B142" t="s">
        <v>36</v>
      </c>
      <c r="C142" s="14">
        <v>1992</v>
      </c>
      <c r="D142" t="str">
        <f t="shared" si="4"/>
        <v>yes</v>
      </c>
      <c r="E142">
        <f>COUNTIF($B$8:$B$1006,"Moldova")</f>
        <v>15</v>
      </c>
      <c r="F142" s="23"/>
      <c r="G142" s="3" t="str">
        <f t="shared" si="5"/>
        <v/>
      </c>
      <c r="H142" s="14"/>
    </row>
    <row r="143" spans="1:8" x14ac:dyDescent="0.2">
      <c r="A143" t="s">
        <v>19</v>
      </c>
      <c r="B143" t="s">
        <v>38</v>
      </c>
      <c r="C143" s="14">
        <v>1992</v>
      </c>
      <c r="D143" t="str">
        <f t="shared" si="4"/>
        <v>yes</v>
      </c>
      <c r="E143">
        <f>COUNTIF($B$8:$B$1006,"Poland")</f>
        <v>17</v>
      </c>
      <c r="F143" s="23"/>
      <c r="G143" s="3" t="str">
        <f t="shared" si="5"/>
        <v/>
      </c>
      <c r="H143" s="14"/>
    </row>
    <row r="144" spans="1:8" x14ac:dyDescent="0.2">
      <c r="A144" t="s">
        <v>19</v>
      </c>
      <c r="B144" t="s">
        <v>39</v>
      </c>
      <c r="C144" s="14">
        <v>1992</v>
      </c>
      <c r="D144" t="str">
        <f t="shared" si="4"/>
        <v>yes</v>
      </c>
      <c r="E144">
        <f>COUNTIF($B$8:$B$1006,"Romania")</f>
        <v>14</v>
      </c>
      <c r="F144" s="23"/>
      <c r="G144" s="3" t="str">
        <f t="shared" si="5"/>
        <v/>
      </c>
      <c r="H144" s="14"/>
    </row>
    <row r="145" spans="1:8" x14ac:dyDescent="0.2">
      <c r="A145" t="s">
        <v>19</v>
      </c>
      <c r="B145" t="s">
        <v>42</v>
      </c>
      <c r="C145" s="14">
        <v>1992</v>
      </c>
      <c r="D145" t="str">
        <f t="shared" si="4"/>
        <v>yes</v>
      </c>
      <c r="E145">
        <f>COUNTIF($B$8:$B$1006,"Slovak Republic")</f>
        <v>9</v>
      </c>
      <c r="F145" s="23"/>
      <c r="G145" s="3" t="str">
        <f t="shared" si="5"/>
        <v/>
      </c>
      <c r="H145" s="14"/>
    </row>
    <row r="146" spans="1:8" x14ac:dyDescent="0.2">
      <c r="A146" t="s">
        <v>19</v>
      </c>
      <c r="B146" t="s">
        <v>47</v>
      </c>
      <c r="C146" s="14">
        <v>1992</v>
      </c>
      <c r="D146" t="str">
        <f t="shared" si="4"/>
        <v>yes</v>
      </c>
      <c r="E146">
        <f>COUNTIF($B$8:$B$1006,"Ukraine")</f>
        <v>13</v>
      </c>
      <c r="F146" s="23"/>
      <c r="G146" s="3" t="str">
        <f t="shared" si="5"/>
        <v/>
      </c>
      <c r="H146" s="14"/>
    </row>
    <row r="147" spans="1:8" x14ac:dyDescent="0.2">
      <c r="A147" t="s">
        <v>49</v>
      </c>
      <c r="B147" t="s">
        <v>48</v>
      </c>
      <c r="C147" s="14">
        <v>1992</v>
      </c>
      <c r="D147" t="str">
        <f t="shared" si="4"/>
        <v>yes</v>
      </c>
      <c r="E147">
        <f>COUNTIF($B$8:$B$1006,"Argentina")</f>
        <v>22</v>
      </c>
      <c r="F147" s="23"/>
      <c r="G147" s="3" t="str">
        <f t="shared" si="5"/>
        <v/>
      </c>
      <c r="H147" s="14"/>
    </row>
    <row r="148" spans="1:8" x14ac:dyDescent="0.2">
      <c r="A148" t="s">
        <v>49</v>
      </c>
      <c r="B148" t="s">
        <v>52</v>
      </c>
      <c r="C148" s="14">
        <v>1992</v>
      </c>
      <c r="D148" t="str">
        <f t="shared" si="4"/>
        <v>yes</v>
      </c>
      <c r="E148">
        <f>COUNTIF($B$8:$B$1006,"Brazil")</f>
        <v>26</v>
      </c>
      <c r="F148" s="23"/>
      <c r="G148" s="3" t="str">
        <f t="shared" si="5"/>
        <v/>
      </c>
      <c r="H148" s="14"/>
    </row>
    <row r="149" spans="1:8" x14ac:dyDescent="0.2">
      <c r="A149" t="s">
        <v>49</v>
      </c>
      <c r="B149" t="s">
        <v>53</v>
      </c>
      <c r="C149" s="14">
        <v>1992</v>
      </c>
      <c r="D149" t="str">
        <f t="shared" si="4"/>
        <v>yes</v>
      </c>
      <c r="E149">
        <f>COUNTIF($B$8:$B$1006,"Chile")</f>
        <v>10</v>
      </c>
      <c r="F149" s="23"/>
      <c r="G149" s="3" t="str">
        <f t="shared" si="5"/>
        <v/>
      </c>
      <c r="H149" s="14"/>
    </row>
    <row r="150" spans="1:8" x14ac:dyDescent="0.2">
      <c r="A150" t="s">
        <v>49</v>
      </c>
      <c r="B150" t="s">
        <v>54</v>
      </c>
      <c r="C150" s="14">
        <v>1992</v>
      </c>
      <c r="D150" t="str">
        <f t="shared" si="4"/>
        <v>yes</v>
      </c>
      <c r="E150">
        <f>COUNTIF($B$8:$B$1006,"Colombia")</f>
        <v>18</v>
      </c>
      <c r="F150" s="23"/>
      <c r="G150" s="3" t="str">
        <f t="shared" si="5"/>
        <v/>
      </c>
      <c r="H150" s="14"/>
    </row>
    <row r="151" spans="1:8" x14ac:dyDescent="0.2">
      <c r="A151" t="s">
        <v>49</v>
      </c>
      <c r="B151" t="s">
        <v>55</v>
      </c>
      <c r="C151" s="14">
        <v>1992</v>
      </c>
      <c r="D151" t="str">
        <f t="shared" si="4"/>
        <v>yes</v>
      </c>
      <c r="E151">
        <f>COUNTIF($B$8:$B$1006,"Costa Rica")</f>
        <v>23</v>
      </c>
      <c r="F151" s="23"/>
      <c r="G151" s="3" t="str">
        <f t="shared" si="5"/>
        <v/>
      </c>
      <c r="H151" s="14"/>
    </row>
    <row r="152" spans="1:8" x14ac:dyDescent="0.2">
      <c r="A152" t="s">
        <v>49</v>
      </c>
      <c r="B152" t="s">
        <v>56</v>
      </c>
      <c r="C152" s="14">
        <v>1992</v>
      </c>
      <c r="D152" t="str">
        <f t="shared" si="4"/>
        <v>yes</v>
      </c>
      <c r="E152">
        <f>COUNTIF($B$8:$B$1006,"Dominican Republic")</f>
        <v>16</v>
      </c>
      <c r="F152" s="23"/>
      <c r="G152" s="3" t="str">
        <f t="shared" si="5"/>
        <v/>
      </c>
      <c r="H152" s="14"/>
    </row>
    <row r="153" spans="1:8" x14ac:dyDescent="0.2">
      <c r="A153" t="s">
        <v>49</v>
      </c>
      <c r="B153" t="s">
        <v>62</v>
      </c>
      <c r="C153" s="14">
        <v>1992</v>
      </c>
      <c r="D153" t="str">
        <f t="shared" si="4"/>
        <v>yes</v>
      </c>
      <c r="E153">
        <f>COUNTIF($B$8:$B$1006,"Honduras")</f>
        <v>21</v>
      </c>
      <c r="F153" s="23"/>
      <c r="G153" s="3" t="str">
        <f t="shared" si="5"/>
        <v/>
      </c>
      <c r="H153" s="14"/>
    </row>
    <row r="154" spans="1:8" x14ac:dyDescent="0.2">
      <c r="A154" t="s">
        <v>49</v>
      </c>
      <c r="B154" t="s">
        <v>64</v>
      </c>
      <c r="C154" s="14">
        <v>1992</v>
      </c>
      <c r="D154" t="str">
        <f t="shared" si="4"/>
        <v>yes</v>
      </c>
      <c r="E154">
        <f>COUNTIF($B$8:$B$1006,"Mexico")</f>
        <v>13</v>
      </c>
      <c r="F154" s="23"/>
      <c r="G154" s="3" t="str">
        <f t="shared" si="5"/>
        <v/>
      </c>
      <c r="H154" s="14"/>
    </row>
    <row r="155" spans="1:8" x14ac:dyDescent="0.2">
      <c r="A155" t="s">
        <v>49</v>
      </c>
      <c r="B155" t="s">
        <v>71</v>
      </c>
      <c r="C155" s="14">
        <v>1992</v>
      </c>
      <c r="D155" t="str">
        <f t="shared" si="4"/>
        <v>yes</v>
      </c>
      <c r="E155">
        <f>COUNTIF($B$8:$B$1006,"Trinidad and Tobago")</f>
        <v>2</v>
      </c>
      <c r="F155" s="23"/>
      <c r="G155" s="3" t="str">
        <f t="shared" si="5"/>
        <v/>
      </c>
      <c r="H155" s="14"/>
    </row>
    <row r="156" spans="1:8" x14ac:dyDescent="0.2">
      <c r="A156" t="s">
        <v>49</v>
      </c>
      <c r="B156" t="s">
        <v>72</v>
      </c>
      <c r="C156" s="14">
        <v>1992</v>
      </c>
      <c r="D156" t="str">
        <f t="shared" si="4"/>
        <v>yes</v>
      </c>
      <c r="E156">
        <f>COUNTIF($B$8:$B$1006,"Uruguay")</f>
        <v>18</v>
      </c>
      <c r="F156" s="23"/>
      <c r="G156" s="3" t="str">
        <f t="shared" si="5"/>
        <v/>
      </c>
      <c r="H156" s="14"/>
    </row>
    <row r="157" spans="1:8" x14ac:dyDescent="0.2">
      <c r="A157" t="s">
        <v>49</v>
      </c>
      <c r="B157" t="s">
        <v>73</v>
      </c>
      <c r="C157" s="14">
        <v>1992</v>
      </c>
      <c r="D157" t="str">
        <f t="shared" si="4"/>
        <v>yes</v>
      </c>
      <c r="E157">
        <f>COUNTIF($B$8:$B$1006,"Venezuela")</f>
        <v>13</v>
      </c>
      <c r="F157" s="23"/>
      <c r="G157" s="3" t="str">
        <f t="shared" si="5"/>
        <v/>
      </c>
      <c r="H157" s="14"/>
    </row>
    <row r="158" spans="1:8" x14ac:dyDescent="0.2">
      <c r="A158" t="s">
        <v>74</v>
      </c>
      <c r="B158" t="s">
        <v>80</v>
      </c>
      <c r="C158" s="14">
        <v>1992</v>
      </c>
      <c r="D158" t="str">
        <f t="shared" si="4"/>
        <v>yes</v>
      </c>
      <c r="E158">
        <f>COUNTIF($B$8:$B$1006,"Jordan")</f>
        <v>7</v>
      </c>
      <c r="F158" s="23"/>
      <c r="G158" s="3" t="str">
        <f t="shared" si="5"/>
        <v/>
      </c>
      <c r="H158" s="14"/>
    </row>
    <row r="159" spans="1:8" x14ac:dyDescent="0.2">
      <c r="A159" t="s">
        <v>87</v>
      </c>
      <c r="B159" t="s">
        <v>86</v>
      </c>
      <c r="C159" s="14">
        <v>1992</v>
      </c>
      <c r="D159" t="str">
        <f t="shared" si="4"/>
        <v>yes</v>
      </c>
      <c r="E159">
        <f>COUNTIF($B$8:$B$1006,"Bangladesh")</f>
        <v>8</v>
      </c>
      <c r="F159" s="23"/>
      <c r="G159" s="3" t="str">
        <f t="shared" si="5"/>
        <v/>
      </c>
      <c r="H159" s="14"/>
    </row>
    <row r="160" spans="1:8" x14ac:dyDescent="0.2">
      <c r="A160" t="s">
        <v>95</v>
      </c>
      <c r="B160" t="s">
        <v>99</v>
      </c>
      <c r="C160" s="14">
        <v>1992</v>
      </c>
      <c r="D160" t="str">
        <f t="shared" si="4"/>
        <v>yes</v>
      </c>
      <c r="E160">
        <f>COUNTIF($B$8:$B$1006,"Burundi")</f>
        <v>3</v>
      </c>
      <c r="F160" s="23"/>
      <c r="G160" s="3">
        <f t="shared" si="5"/>
        <v>1</v>
      </c>
      <c r="H160" s="14" t="s">
        <v>99</v>
      </c>
    </row>
    <row r="161" spans="1:8" x14ac:dyDescent="0.2">
      <c r="A161" t="s">
        <v>95</v>
      </c>
      <c r="B161" t="s">
        <v>102</v>
      </c>
      <c r="C161" s="14">
        <v>1992</v>
      </c>
      <c r="D161" t="str">
        <f t="shared" si="4"/>
        <v>yes</v>
      </c>
      <c r="E161">
        <f>COUNTIF($B$8:$B$1006,"Central African Republic")</f>
        <v>3</v>
      </c>
      <c r="F161" s="23"/>
      <c r="G161" s="3">
        <f t="shared" si="5"/>
        <v>1</v>
      </c>
      <c r="H161" s="14" t="s">
        <v>102</v>
      </c>
    </row>
    <row r="162" spans="1:8" x14ac:dyDescent="0.2">
      <c r="A162" t="s">
        <v>95</v>
      </c>
      <c r="B162" t="s">
        <v>111</v>
      </c>
      <c r="C162" s="14">
        <v>1992</v>
      </c>
      <c r="D162" t="str">
        <f t="shared" si="4"/>
        <v>yes</v>
      </c>
      <c r="E162">
        <f>COUNTIF($B$8:$B$1006,"Ghana")</f>
        <v>5</v>
      </c>
      <c r="F162" s="23"/>
      <c r="G162" s="3" t="str">
        <f t="shared" si="5"/>
        <v/>
      </c>
      <c r="H162" s="14"/>
    </row>
    <row r="163" spans="1:8" x14ac:dyDescent="0.2">
      <c r="A163" t="s">
        <v>95</v>
      </c>
      <c r="B163" t="s">
        <v>114</v>
      </c>
      <c r="C163" s="14">
        <v>1992</v>
      </c>
      <c r="D163" t="str">
        <f t="shared" si="4"/>
        <v>yes</v>
      </c>
      <c r="E163">
        <f>COUNTIF($B$8:$B$1006,"Kenya")</f>
        <v>4</v>
      </c>
      <c r="F163" s="23"/>
      <c r="G163" s="3">
        <f t="shared" si="5"/>
        <v>1</v>
      </c>
      <c r="H163" s="14" t="s">
        <v>114</v>
      </c>
    </row>
    <row r="164" spans="1:8" x14ac:dyDescent="0.2">
      <c r="A164" t="s">
        <v>95</v>
      </c>
      <c r="B164" t="s">
        <v>123</v>
      </c>
      <c r="C164" s="14">
        <v>1992</v>
      </c>
      <c r="D164" t="str">
        <f t="shared" si="4"/>
        <v>yes</v>
      </c>
      <c r="E164">
        <f>COUNTIF($B$8:$B$1006,"Niger")</f>
        <v>4</v>
      </c>
      <c r="F164" s="23"/>
      <c r="G164" s="3">
        <f t="shared" si="5"/>
        <v>1</v>
      </c>
      <c r="H164" s="14" t="s">
        <v>123</v>
      </c>
    </row>
    <row r="165" spans="1:8" x14ac:dyDescent="0.2">
      <c r="A165" t="s">
        <v>95</v>
      </c>
      <c r="B165" t="s">
        <v>124</v>
      </c>
      <c r="C165" s="14">
        <v>1992</v>
      </c>
      <c r="D165" t="str">
        <f t="shared" si="4"/>
        <v>yes</v>
      </c>
      <c r="E165">
        <f>COUNTIF($B$8:$B$1006,"Nigeria")</f>
        <v>5</v>
      </c>
      <c r="F165" s="23"/>
      <c r="G165" s="3" t="str">
        <f t="shared" si="5"/>
        <v/>
      </c>
      <c r="H165" s="14"/>
    </row>
    <row r="166" spans="1:8" x14ac:dyDescent="0.2">
      <c r="A166" t="s">
        <v>95</v>
      </c>
      <c r="B166" t="s">
        <v>133</v>
      </c>
      <c r="C166" s="14">
        <v>1992</v>
      </c>
      <c r="D166" t="str">
        <f t="shared" si="4"/>
        <v>yes</v>
      </c>
      <c r="E166">
        <f>COUNTIF($B$8:$B$1006,"Tanzania")</f>
        <v>3</v>
      </c>
      <c r="F166" s="23"/>
      <c r="G166" s="3">
        <f t="shared" si="5"/>
        <v>1</v>
      </c>
      <c r="H166" s="14" t="s">
        <v>133</v>
      </c>
    </row>
    <row r="167" spans="1:8" x14ac:dyDescent="0.2">
      <c r="A167" t="s">
        <v>95</v>
      </c>
      <c r="B167" t="s">
        <v>135</v>
      </c>
      <c r="C167" s="14">
        <v>1992</v>
      </c>
      <c r="D167" t="str">
        <f t="shared" si="4"/>
        <v>yes</v>
      </c>
      <c r="E167">
        <f>COUNTIF($B$8:$B$1006,"Uganda")</f>
        <v>7</v>
      </c>
      <c r="F167" s="23"/>
      <c r="G167" s="3" t="str">
        <f t="shared" si="5"/>
        <v/>
      </c>
      <c r="H167" s="14"/>
    </row>
    <row r="168" spans="1:8" x14ac:dyDescent="0.2">
      <c r="A168" t="s">
        <v>4</v>
      </c>
      <c r="B168" t="s">
        <v>7</v>
      </c>
      <c r="C168" s="14">
        <v>1993</v>
      </c>
      <c r="D168" t="str">
        <f t="shared" si="4"/>
        <v>yes</v>
      </c>
      <c r="E168">
        <f>COUNTIF($B$8:$B$1006,"China")</f>
        <v>17</v>
      </c>
      <c r="F168" s="23"/>
      <c r="G168" s="3" t="str">
        <f t="shared" si="5"/>
        <v/>
      </c>
      <c r="H168" s="14"/>
    </row>
    <row r="169" spans="1:8" x14ac:dyDescent="0.2">
      <c r="A169" t="s">
        <v>4</v>
      </c>
      <c r="B169" t="s">
        <v>10</v>
      </c>
      <c r="C169" s="14">
        <v>1993</v>
      </c>
      <c r="D169" t="str">
        <f t="shared" si="4"/>
        <v>yes</v>
      </c>
      <c r="E169">
        <f>COUNTIF($B$8:$B$1006,"Indonesia")</f>
        <v>14</v>
      </c>
      <c r="F169" s="23"/>
      <c r="G169" s="3" t="str">
        <f t="shared" si="5"/>
        <v/>
      </c>
      <c r="H169" s="14"/>
    </row>
    <row r="170" spans="1:8" x14ac:dyDescent="0.2">
      <c r="A170" t="s">
        <v>4</v>
      </c>
      <c r="B170" t="s">
        <v>18</v>
      </c>
      <c r="C170" s="14">
        <v>1993</v>
      </c>
      <c r="D170" t="str">
        <f t="shared" si="4"/>
        <v>yes</v>
      </c>
      <c r="E170">
        <f>COUNTIF($B$8:$B$1006,"Vietnam")</f>
        <v>6</v>
      </c>
      <c r="F170" s="23"/>
      <c r="G170" s="3">
        <f t="shared" si="5"/>
        <v>1</v>
      </c>
      <c r="H170" s="14" t="s">
        <v>18</v>
      </c>
    </row>
    <row r="171" spans="1:8" x14ac:dyDescent="0.2">
      <c r="A171" t="s">
        <v>19</v>
      </c>
      <c r="B171" t="s">
        <v>23</v>
      </c>
      <c r="C171" s="14">
        <v>1993</v>
      </c>
      <c r="D171" t="str">
        <f t="shared" si="4"/>
        <v>yes</v>
      </c>
      <c r="E171">
        <f>COUNTIF($B$8:$B$1006,"Belarus")</f>
        <v>12</v>
      </c>
      <c r="F171" s="23"/>
      <c r="G171" s="3" t="str">
        <f t="shared" si="5"/>
        <v/>
      </c>
      <c r="H171" s="14"/>
    </row>
    <row r="172" spans="1:8" x14ac:dyDescent="0.2">
      <c r="A172" t="s">
        <v>19</v>
      </c>
      <c r="B172" t="s">
        <v>27</v>
      </c>
      <c r="C172" s="14">
        <v>1993</v>
      </c>
      <c r="D172" t="str">
        <f t="shared" si="4"/>
        <v>yes</v>
      </c>
      <c r="E172">
        <f>COUNTIF($B$8:$B$1006,"Czech Republic")</f>
        <v>3</v>
      </c>
      <c r="F172" s="23"/>
      <c r="G172" s="3" t="str">
        <f t="shared" si="5"/>
        <v/>
      </c>
      <c r="H172" s="14"/>
    </row>
    <row r="173" spans="1:8" x14ac:dyDescent="0.2">
      <c r="A173" t="s">
        <v>19</v>
      </c>
      <c r="B173" t="s">
        <v>28</v>
      </c>
      <c r="C173" s="14">
        <v>1993</v>
      </c>
      <c r="D173" t="str">
        <f t="shared" si="4"/>
        <v>yes</v>
      </c>
      <c r="E173">
        <f>COUNTIF($B$8:$B$1006,"Estonia")</f>
        <v>9</v>
      </c>
      <c r="F173" s="23"/>
      <c r="G173" s="3" t="str">
        <f t="shared" si="5"/>
        <v/>
      </c>
      <c r="H173" s="14"/>
    </row>
    <row r="174" spans="1:8" x14ac:dyDescent="0.2">
      <c r="A174" t="s">
        <v>19</v>
      </c>
      <c r="B174" t="s">
        <v>30</v>
      </c>
      <c r="C174" s="14">
        <v>1993</v>
      </c>
      <c r="D174" t="str">
        <f t="shared" si="4"/>
        <v>yes</v>
      </c>
      <c r="E174">
        <f>COUNTIF($B$8:$B$1006,"Hungary")</f>
        <v>10</v>
      </c>
      <c r="F174" s="23"/>
      <c r="G174" s="3" t="str">
        <f t="shared" si="5"/>
        <v/>
      </c>
      <c r="H174" s="14"/>
    </row>
    <row r="175" spans="1:8" x14ac:dyDescent="0.2">
      <c r="A175" t="s">
        <v>19</v>
      </c>
      <c r="B175" t="s">
        <v>31</v>
      </c>
      <c r="C175" s="14">
        <v>1993</v>
      </c>
      <c r="D175" t="str">
        <f t="shared" si="4"/>
        <v>yes</v>
      </c>
      <c r="E175">
        <f>COUNTIF($B$8:$B$1006,"Kazakhstan")</f>
        <v>11</v>
      </c>
      <c r="F175" s="23"/>
      <c r="G175" s="3" t="str">
        <f t="shared" si="5"/>
        <v/>
      </c>
      <c r="H175" s="14"/>
    </row>
    <row r="176" spans="1:8" x14ac:dyDescent="0.2">
      <c r="A176" t="s">
        <v>19</v>
      </c>
      <c r="B176" t="s">
        <v>32</v>
      </c>
      <c r="C176" s="14">
        <v>1993</v>
      </c>
      <c r="D176" t="str">
        <f t="shared" si="4"/>
        <v>yes</v>
      </c>
      <c r="E176">
        <f>COUNTIF($B$8:$B$1006,"Kyrgyz Republic")</f>
        <v>10</v>
      </c>
      <c r="F176" s="23"/>
      <c r="G176" s="3" t="str">
        <f t="shared" si="5"/>
        <v/>
      </c>
      <c r="H176" s="14"/>
    </row>
    <row r="177" spans="1:8" x14ac:dyDescent="0.2">
      <c r="A177" t="s">
        <v>19</v>
      </c>
      <c r="B177" t="s">
        <v>33</v>
      </c>
      <c r="C177" s="14">
        <v>1993</v>
      </c>
      <c r="D177" t="str">
        <f t="shared" si="4"/>
        <v>yes</v>
      </c>
      <c r="E177">
        <f>COUNTIF($B$8:$B$1006,"Latvia")</f>
        <v>11</v>
      </c>
      <c r="F177" s="23"/>
      <c r="G177" s="3" t="str">
        <f t="shared" si="5"/>
        <v/>
      </c>
      <c r="H177" s="14"/>
    </row>
    <row r="178" spans="1:8" x14ac:dyDescent="0.2">
      <c r="A178" t="s">
        <v>19</v>
      </c>
      <c r="B178" t="s">
        <v>34</v>
      </c>
      <c r="C178" s="14">
        <v>1993</v>
      </c>
      <c r="D178" t="str">
        <f t="shared" si="4"/>
        <v>yes</v>
      </c>
      <c r="E178">
        <f>COUNTIF($B$8:$B$1006,"Lithuania")</f>
        <v>9</v>
      </c>
      <c r="F178" s="23"/>
      <c r="G178" s="3" t="str">
        <f t="shared" si="5"/>
        <v/>
      </c>
      <c r="H178" s="14"/>
    </row>
    <row r="179" spans="1:8" x14ac:dyDescent="0.2">
      <c r="A179" t="s">
        <v>19</v>
      </c>
      <c r="B179" t="s">
        <v>38</v>
      </c>
      <c r="C179" s="14">
        <v>1993</v>
      </c>
      <c r="D179" t="str">
        <f t="shared" si="4"/>
        <v>yes</v>
      </c>
      <c r="E179">
        <f>COUNTIF($B$8:$B$1006,"Poland")</f>
        <v>17</v>
      </c>
      <c r="F179" s="23"/>
      <c r="G179" s="3" t="str">
        <f t="shared" si="5"/>
        <v/>
      </c>
      <c r="H179" s="14"/>
    </row>
    <row r="180" spans="1:8" x14ac:dyDescent="0.2">
      <c r="A180" t="s">
        <v>19</v>
      </c>
      <c r="B180" t="s">
        <v>40</v>
      </c>
      <c r="C180" s="14">
        <v>1993</v>
      </c>
      <c r="D180" t="str">
        <f t="shared" si="4"/>
        <v>yes</v>
      </c>
      <c r="E180">
        <f>COUNTIF($B$8:$B$1006,"Russian Federation")</f>
        <v>13</v>
      </c>
      <c r="F180" s="23"/>
      <c r="G180" s="3" t="str">
        <f t="shared" si="5"/>
        <v/>
      </c>
      <c r="H180" s="14"/>
    </row>
    <row r="181" spans="1:8" x14ac:dyDescent="0.2">
      <c r="A181" t="s">
        <v>19</v>
      </c>
      <c r="B181" t="s">
        <v>44</v>
      </c>
      <c r="C181" s="14">
        <v>1993</v>
      </c>
      <c r="D181" t="str">
        <f t="shared" si="4"/>
        <v>yes</v>
      </c>
      <c r="E181">
        <f>COUNTIF($B$8:$B$1006,"Slovenia")</f>
        <v>6</v>
      </c>
      <c r="F181" s="23"/>
      <c r="G181" s="3" t="str">
        <f t="shared" si="5"/>
        <v/>
      </c>
      <c r="H181" s="14"/>
    </row>
    <row r="182" spans="1:8" x14ac:dyDescent="0.2">
      <c r="A182" t="s">
        <v>19</v>
      </c>
      <c r="B182" t="s">
        <v>46</v>
      </c>
      <c r="C182" s="14">
        <v>1993</v>
      </c>
      <c r="D182" t="str">
        <f t="shared" si="4"/>
        <v>yes</v>
      </c>
      <c r="E182">
        <f>COUNTIF($B$8:$B$1006,"Turkmenistan")</f>
        <v>3</v>
      </c>
      <c r="F182" s="23"/>
      <c r="G182" s="3" t="str">
        <f t="shared" si="5"/>
        <v/>
      </c>
      <c r="H182" s="14"/>
    </row>
    <row r="183" spans="1:8" x14ac:dyDescent="0.2">
      <c r="A183" t="s">
        <v>49</v>
      </c>
      <c r="B183" t="s">
        <v>48</v>
      </c>
      <c r="C183" s="14">
        <v>1993</v>
      </c>
      <c r="D183" t="str">
        <f t="shared" si="4"/>
        <v>yes</v>
      </c>
      <c r="E183">
        <f>COUNTIF($B$8:$B$1006,"Argentina")</f>
        <v>22</v>
      </c>
      <c r="F183" s="23"/>
      <c r="G183" s="3" t="str">
        <f t="shared" si="5"/>
        <v/>
      </c>
      <c r="H183" s="14"/>
    </row>
    <row r="184" spans="1:8" x14ac:dyDescent="0.2">
      <c r="A184" t="s">
        <v>49</v>
      </c>
      <c r="B184" t="s">
        <v>50</v>
      </c>
      <c r="C184" s="14">
        <v>1993</v>
      </c>
      <c r="D184" t="str">
        <f t="shared" si="4"/>
        <v>yes</v>
      </c>
      <c r="E184">
        <f>COUNTIF($B$8:$B$1006,"Belize")</f>
        <v>7</v>
      </c>
      <c r="F184" s="23"/>
      <c r="G184" s="3">
        <f t="shared" si="5"/>
        <v>1</v>
      </c>
      <c r="H184" s="14" t="s">
        <v>50</v>
      </c>
    </row>
    <row r="185" spans="1:8" x14ac:dyDescent="0.2">
      <c r="A185" t="s">
        <v>49</v>
      </c>
      <c r="B185" t="s">
        <v>51</v>
      </c>
      <c r="C185" s="14">
        <v>1993</v>
      </c>
      <c r="D185" t="str">
        <f t="shared" si="4"/>
        <v>yes</v>
      </c>
      <c r="E185">
        <f>COUNTIF($B$8:$B$1006,"Bolivia")</f>
        <v>11</v>
      </c>
      <c r="F185" s="23"/>
      <c r="G185" s="3" t="str">
        <f t="shared" si="5"/>
        <v/>
      </c>
      <c r="H185" s="14"/>
    </row>
    <row r="186" spans="1:8" x14ac:dyDescent="0.2">
      <c r="A186" t="s">
        <v>49</v>
      </c>
      <c r="B186" t="s">
        <v>52</v>
      </c>
      <c r="C186" s="14">
        <v>1993</v>
      </c>
      <c r="D186" t="str">
        <f t="shared" si="4"/>
        <v>yes</v>
      </c>
      <c r="E186">
        <f>COUNTIF($B$8:$B$1006,"Brazil")</f>
        <v>26</v>
      </c>
      <c r="F186" s="23"/>
      <c r="G186" s="3" t="str">
        <f t="shared" si="5"/>
        <v/>
      </c>
      <c r="H186" s="14"/>
    </row>
    <row r="187" spans="1:8" x14ac:dyDescent="0.2">
      <c r="A187" t="s">
        <v>49</v>
      </c>
      <c r="B187" t="s">
        <v>55</v>
      </c>
      <c r="C187" s="14">
        <v>1993</v>
      </c>
      <c r="D187" t="str">
        <f t="shared" si="4"/>
        <v>yes</v>
      </c>
      <c r="E187">
        <f>COUNTIF($B$8:$B$1006,"Costa Rica")</f>
        <v>23</v>
      </c>
      <c r="F187" s="23"/>
      <c r="G187" s="3" t="str">
        <f t="shared" si="5"/>
        <v/>
      </c>
      <c r="H187" s="14"/>
    </row>
    <row r="188" spans="1:8" x14ac:dyDescent="0.2">
      <c r="A188" t="s">
        <v>49</v>
      </c>
      <c r="B188" t="s">
        <v>60</v>
      </c>
      <c r="C188" s="14">
        <v>1993</v>
      </c>
      <c r="D188" t="str">
        <f t="shared" si="4"/>
        <v>yes</v>
      </c>
      <c r="E188">
        <f>COUNTIF($B$8:$B$1006,"Guyana")</f>
        <v>2</v>
      </c>
      <c r="F188" s="23"/>
      <c r="G188" s="3">
        <f t="shared" si="5"/>
        <v>1</v>
      </c>
      <c r="H188" s="14" t="s">
        <v>60</v>
      </c>
    </row>
    <row r="189" spans="1:8" x14ac:dyDescent="0.2">
      <c r="A189" t="s">
        <v>49</v>
      </c>
      <c r="B189" t="s">
        <v>62</v>
      </c>
      <c r="C189" s="14">
        <v>1993</v>
      </c>
      <c r="D189" t="str">
        <f t="shared" si="4"/>
        <v>yes</v>
      </c>
      <c r="E189">
        <f>COUNTIF($B$8:$B$1006,"Honduras")</f>
        <v>21</v>
      </c>
      <c r="F189" s="23"/>
      <c r="G189" s="3" t="str">
        <f t="shared" si="5"/>
        <v/>
      </c>
      <c r="H189" s="14"/>
    </row>
    <row r="190" spans="1:8" x14ac:dyDescent="0.2">
      <c r="A190" t="s">
        <v>49</v>
      </c>
      <c r="B190" t="s">
        <v>63</v>
      </c>
      <c r="C190" s="14">
        <v>1993</v>
      </c>
      <c r="D190" t="str">
        <f t="shared" si="4"/>
        <v>yes</v>
      </c>
      <c r="E190">
        <f>COUNTIF($B$8:$B$1006,"Jamaica")</f>
        <v>8</v>
      </c>
      <c r="F190" s="23"/>
      <c r="G190" s="3" t="str">
        <f t="shared" si="5"/>
        <v/>
      </c>
      <c r="H190" s="14"/>
    </row>
    <row r="191" spans="1:8" x14ac:dyDescent="0.2">
      <c r="A191" t="s">
        <v>49</v>
      </c>
      <c r="B191" t="s">
        <v>65</v>
      </c>
      <c r="C191" s="14">
        <v>1993</v>
      </c>
      <c r="D191" t="str">
        <f t="shared" si="4"/>
        <v>yes</v>
      </c>
      <c r="E191">
        <f>COUNTIF($B$8:$B$1006,"Nicaragua")</f>
        <v>4</v>
      </c>
      <c r="F191" s="23"/>
      <c r="G191" s="3">
        <f t="shared" si="5"/>
        <v>1</v>
      </c>
      <c r="H191" s="14" t="s">
        <v>65</v>
      </c>
    </row>
    <row r="192" spans="1:8" x14ac:dyDescent="0.2">
      <c r="A192" t="s">
        <v>95</v>
      </c>
      <c r="B192" t="s">
        <v>107</v>
      </c>
      <c r="C192" s="14">
        <v>1993</v>
      </c>
      <c r="D192" t="str">
        <f t="shared" si="4"/>
        <v>yes</v>
      </c>
      <c r="E192">
        <f>COUNTIF($B$8:$B$1006,"Cote D'Ivoire")</f>
        <v>9</v>
      </c>
      <c r="F192" s="23"/>
      <c r="G192" s="3" t="str">
        <f t="shared" si="5"/>
        <v/>
      </c>
      <c r="H192" s="14"/>
    </row>
    <row r="193" spans="1:8" x14ac:dyDescent="0.2">
      <c r="A193" t="s">
        <v>95</v>
      </c>
      <c r="B193" t="s">
        <v>113</v>
      </c>
      <c r="C193" s="14">
        <v>1993</v>
      </c>
      <c r="D193" t="str">
        <f t="shared" si="4"/>
        <v>yes</v>
      </c>
      <c r="E193">
        <f>COUNTIF($B$8:$B$1006,"Guinea-Bissau")</f>
        <v>3</v>
      </c>
      <c r="F193" s="23"/>
      <c r="G193" s="3" t="str">
        <f t="shared" si="5"/>
        <v/>
      </c>
      <c r="H193" s="14"/>
    </row>
    <row r="194" spans="1:8" x14ac:dyDescent="0.2">
      <c r="A194" t="s">
        <v>95</v>
      </c>
      <c r="B194" t="s">
        <v>115</v>
      </c>
      <c r="C194" s="14">
        <v>1993</v>
      </c>
      <c r="D194" t="str">
        <f t="shared" si="4"/>
        <v>yes</v>
      </c>
      <c r="E194">
        <f>COUNTIF($B$8:$B$1006,"Lesotho")</f>
        <v>4</v>
      </c>
      <c r="F194" s="23"/>
      <c r="G194" s="3" t="str">
        <f t="shared" si="5"/>
        <v/>
      </c>
      <c r="H194" s="14"/>
    </row>
    <row r="195" spans="1:8" x14ac:dyDescent="0.2">
      <c r="A195" t="s">
        <v>95</v>
      </c>
      <c r="B195" t="s">
        <v>117</v>
      </c>
      <c r="C195" s="14">
        <v>1993</v>
      </c>
      <c r="D195" t="str">
        <f t="shared" si="4"/>
        <v>yes</v>
      </c>
      <c r="E195">
        <f>COUNTIF($B$8:$B$1006,"Madagascar")</f>
        <v>7</v>
      </c>
      <c r="F195" s="23"/>
      <c r="G195" s="3" t="str">
        <f t="shared" si="5"/>
        <v/>
      </c>
      <c r="H195" s="14"/>
    </row>
    <row r="196" spans="1:8" x14ac:dyDescent="0.2">
      <c r="A196" t="s">
        <v>95</v>
      </c>
      <c r="B196" t="s">
        <v>120</v>
      </c>
      <c r="C196" s="14">
        <v>1993</v>
      </c>
      <c r="D196" t="str">
        <f t="shared" si="4"/>
        <v>yes</v>
      </c>
      <c r="E196">
        <f>COUNTIF($B$8:$B$1006,"Mauritania")</f>
        <v>6</v>
      </c>
      <c r="F196" s="23"/>
      <c r="G196" s="3" t="str">
        <f t="shared" si="5"/>
        <v/>
      </c>
      <c r="H196" s="14"/>
    </row>
    <row r="197" spans="1:8" x14ac:dyDescent="0.2">
      <c r="A197" t="s">
        <v>95</v>
      </c>
      <c r="B197" t="s">
        <v>122</v>
      </c>
      <c r="C197" s="14">
        <v>1993</v>
      </c>
      <c r="D197" t="str">
        <f t="shared" si="4"/>
        <v>yes</v>
      </c>
      <c r="E197">
        <f>COUNTIF($B$8:$B$1006,"Namibia")</f>
        <v>2</v>
      </c>
      <c r="F197" s="23"/>
      <c r="G197" s="3">
        <f t="shared" si="5"/>
        <v>1</v>
      </c>
      <c r="H197" s="14" t="s">
        <v>122</v>
      </c>
    </row>
    <row r="198" spans="1:8" x14ac:dyDescent="0.2">
      <c r="A198" t="s">
        <v>95</v>
      </c>
      <c r="B198" t="s">
        <v>130</v>
      </c>
      <c r="C198" s="14">
        <v>1993</v>
      </c>
      <c r="D198" t="str">
        <f t="shared" si="4"/>
        <v>yes</v>
      </c>
      <c r="E198">
        <f>COUNTIF($B$8:$B$1006,"South Africa")</f>
        <v>5</v>
      </c>
      <c r="F198" s="23"/>
      <c r="G198" s="3">
        <f t="shared" si="5"/>
        <v>1</v>
      </c>
      <c r="H198" s="14" t="s">
        <v>130</v>
      </c>
    </row>
    <row r="199" spans="1:8" x14ac:dyDescent="0.2">
      <c r="A199" t="s">
        <v>95</v>
      </c>
      <c r="B199" t="s">
        <v>136</v>
      </c>
      <c r="C199" s="14">
        <v>1993</v>
      </c>
      <c r="D199" t="str">
        <f t="shared" si="4"/>
        <v>yes</v>
      </c>
      <c r="E199">
        <f>COUNTIF($B$8:$B$1006,"Zambia")</f>
        <v>7</v>
      </c>
      <c r="F199" s="23"/>
      <c r="G199" s="3" t="str">
        <f t="shared" si="5"/>
        <v/>
      </c>
      <c r="H199" s="14"/>
    </row>
    <row r="200" spans="1:8" x14ac:dyDescent="0.2">
      <c r="A200" t="s">
        <v>4</v>
      </c>
      <c r="B200" t="s">
        <v>5</v>
      </c>
      <c r="C200" s="14">
        <v>1994</v>
      </c>
      <c r="D200" t="str">
        <f t="shared" ref="D200:D263" si="6">IF(F200="LSMS","no","yes")</f>
        <v>yes</v>
      </c>
      <c r="E200">
        <f>COUNTIF($B$8:$B$1006,"Cambodia")</f>
        <v>4</v>
      </c>
      <c r="F200" s="23"/>
      <c r="G200" s="3">
        <f t="shared" ref="G200:G263" si="7">IF(H200="","",1)</f>
        <v>1</v>
      </c>
      <c r="H200" s="14" t="s">
        <v>5</v>
      </c>
    </row>
    <row r="201" spans="1:8" x14ac:dyDescent="0.2">
      <c r="A201" t="s">
        <v>4</v>
      </c>
      <c r="B201" t="s">
        <v>7</v>
      </c>
      <c r="C201" s="14">
        <v>1994</v>
      </c>
      <c r="D201" t="str">
        <f t="shared" si="6"/>
        <v>yes</v>
      </c>
      <c r="E201">
        <f>COUNTIF($B$8:$B$1006,"China")</f>
        <v>17</v>
      </c>
      <c r="F201" s="23"/>
      <c r="G201" s="3" t="str">
        <f t="shared" si="7"/>
        <v/>
      </c>
      <c r="H201" s="14"/>
    </row>
    <row r="202" spans="1:8" x14ac:dyDescent="0.2">
      <c r="A202" t="s">
        <v>4</v>
      </c>
      <c r="B202" t="s">
        <v>15</v>
      </c>
      <c r="C202" s="14">
        <v>1994</v>
      </c>
      <c r="D202" t="str">
        <f t="shared" si="6"/>
        <v>yes</v>
      </c>
      <c r="E202">
        <f>COUNTIF($B$8:$B$1006,"Philippines")</f>
        <v>9</v>
      </c>
      <c r="F202" s="23"/>
      <c r="G202" s="3" t="str">
        <f t="shared" si="7"/>
        <v/>
      </c>
      <c r="H202" s="14"/>
    </row>
    <row r="203" spans="1:8" x14ac:dyDescent="0.2">
      <c r="A203" t="s">
        <v>4</v>
      </c>
      <c r="B203" t="s">
        <v>16</v>
      </c>
      <c r="C203" s="14">
        <v>1994</v>
      </c>
      <c r="D203" t="str">
        <f t="shared" si="6"/>
        <v>yes</v>
      </c>
      <c r="E203">
        <f>COUNTIF($B$8:$B$1006,"Thailand")</f>
        <v>13</v>
      </c>
      <c r="F203" s="23"/>
      <c r="G203" s="3" t="str">
        <f t="shared" si="7"/>
        <v/>
      </c>
      <c r="H203" s="14"/>
    </row>
    <row r="204" spans="1:8" x14ac:dyDescent="0.2">
      <c r="A204" t="s">
        <v>19</v>
      </c>
      <c r="B204" t="s">
        <v>25</v>
      </c>
      <c r="C204" s="14">
        <v>1994</v>
      </c>
      <c r="D204" t="str">
        <f t="shared" si="6"/>
        <v>yes</v>
      </c>
      <c r="E204">
        <f>COUNTIF($B$8:$B$1006,"Bulgaria")</f>
        <v>8</v>
      </c>
      <c r="F204" s="23"/>
      <c r="G204" s="3" t="str">
        <f t="shared" si="7"/>
        <v/>
      </c>
      <c r="H204" s="14"/>
    </row>
    <row r="205" spans="1:8" x14ac:dyDescent="0.2">
      <c r="A205" t="s">
        <v>19</v>
      </c>
      <c r="B205" t="s">
        <v>39</v>
      </c>
      <c r="C205" s="14">
        <v>1994</v>
      </c>
      <c r="D205" t="str">
        <f t="shared" si="6"/>
        <v>yes</v>
      </c>
      <c r="E205">
        <f>COUNTIF($B$8:$B$1006,"Romania")</f>
        <v>14</v>
      </c>
      <c r="F205" s="23"/>
      <c r="G205" s="3" t="str">
        <f t="shared" si="7"/>
        <v/>
      </c>
      <c r="H205" s="14"/>
    </row>
    <row r="206" spans="1:8" x14ac:dyDescent="0.2">
      <c r="A206" t="s">
        <v>19</v>
      </c>
      <c r="B206" t="s">
        <v>45</v>
      </c>
      <c r="C206" s="14">
        <v>1994</v>
      </c>
      <c r="D206" t="str">
        <f t="shared" si="6"/>
        <v>yes</v>
      </c>
      <c r="E206">
        <f>COUNTIF($B$8:$B$1006,"Turkey")</f>
        <v>9</v>
      </c>
      <c r="F206" s="23"/>
      <c r="G206" s="3" t="str">
        <f t="shared" si="7"/>
        <v/>
      </c>
      <c r="H206" s="14"/>
    </row>
    <row r="207" spans="1:8" x14ac:dyDescent="0.2">
      <c r="A207" t="s">
        <v>49</v>
      </c>
      <c r="B207" t="s">
        <v>48</v>
      </c>
      <c r="C207" s="14">
        <v>1994</v>
      </c>
      <c r="D207" t="str">
        <f t="shared" si="6"/>
        <v>yes</v>
      </c>
      <c r="E207">
        <f>COUNTIF($B$8:$B$1006,"Argentina")</f>
        <v>22</v>
      </c>
      <c r="F207" s="23"/>
      <c r="G207" s="3" t="str">
        <f t="shared" si="7"/>
        <v/>
      </c>
      <c r="H207" s="14"/>
    </row>
    <row r="208" spans="1:8" x14ac:dyDescent="0.2">
      <c r="A208" t="s">
        <v>49</v>
      </c>
      <c r="B208" t="s">
        <v>50</v>
      </c>
      <c r="C208" s="14">
        <v>1994</v>
      </c>
      <c r="D208" t="str">
        <f t="shared" si="6"/>
        <v>yes</v>
      </c>
      <c r="E208">
        <f>COUNTIF($B$8:$B$1006,"Belize")</f>
        <v>7</v>
      </c>
      <c r="F208" s="23"/>
      <c r="G208" s="3" t="str">
        <f t="shared" si="7"/>
        <v/>
      </c>
      <c r="H208" s="14"/>
    </row>
    <row r="209" spans="1:8" x14ac:dyDescent="0.2">
      <c r="A209" t="s">
        <v>49</v>
      </c>
      <c r="B209" t="s">
        <v>53</v>
      </c>
      <c r="C209" s="14">
        <v>1994</v>
      </c>
      <c r="D209" t="str">
        <f t="shared" si="6"/>
        <v>yes</v>
      </c>
      <c r="E209">
        <f>COUNTIF($B$8:$B$1006,"Chile")</f>
        <v>10</v>
      </c>
      <c r="F209" s="23"/>
      <c r="G209" s="3" t="str">
        <f t="shared" si="7"/>
        <v/>
      </c>
      <c r="H209" s="14"/>
    </row>
    <row r="210" spans="1:8" x14ac:dyDescent="0.2">
      <c r="A210" t="s">
        <v>49</v>
      </c>
      <c r="B210" t="s">
        <v>55</v>
      </c>
      <c r="C210" s="14">
        <v>1994</v>
      </c>
      <c r="D210" t="str">
        <f t="shared" si="6"/>
        <v>yes</v>
      </c>
      <c r="E210">
        <f>COUNTIF($B$8:$B$1006,"Costa Rica")</f>
        <v>23</v>
      </c>
      <c r="F210" s="23"/>
      <c r="G210" s="3" t="str">
        <f t="shared" si="7"/>
        <v/>
      </c>
      <c r="H210" s="14"/>
    </row>
    <row r="211" spans="1:8" x14ac:dyDescent="0.2">
      <c r="A211" t="s">
        <v>49</v>
      </c>
      <c r="B211" t="s">
        <v>57</v>
      </c>
      <c r="C211" s="14">
        <v>1994</v>
      </c>
      <c r="D211" t="str">
        <f t="shared" si="6"/>
        <v>yes</v>
      </c>
      <c r="E211">
        <f>COUNTIF($B$8:$B$1006,"Ecuador")</f>
        <v>13</v>
      </c>
      <c r="F211" s="23"/>
      <c r="G211" s="3" t="str">
        <f t="shared" si="7"/>
        <v/>
      </c>
      <c r="H211" s="14"/>
    </row>
    <row r="212" spans="1:8" x14ac:dyDescent="0.2">
      <c r="A212" t="s">
        <v>49</v>
      </c>
      <c r="B212" t="s">
        <v>62</v>
      </c>
      <c r="C212" s="14">
        <v>1994</v>
      </c>
      <c r="D212" t="str">
        <f t="shared" si="6"/>
        <v>yes</v>
      </c>
      <c r="E212">
        <f>COUNTIF($B$8:$B$1006,"Honduras")</f>
        <v>21</v>
      </c>
      <c r="F212" s="23"/>
      <c r="G212" s="3" t="str">
        <f t="shared" si="7"/>
        <v/>
      </c>
      <c r="H212" s="14"/>
    </row>
    <row r="213" spans="1:8" x14ac:dyDescent="0.2">
      <c r="A213" t="s">
        <v>49</v>
      </c>
      <c r="B213" t="s">
        <v>64</v>
      </c>
      <c r="C213" s="14">
        <v>1994</v>
      </c>
      <c r="D213" t="str">
        <f t="shared" si="6"/>
        <v>yes</v>
      </c>
      <c r="E213">
        <f>COUNTIF($B$8:$B$1006,"Mexico")</f>
        <v>13</v>
      </c>
      <c r="F213" s="23"/>
      <c r="G213" s="3" t="str">
        <f t="shared" si="7"/>
        <v/>
      </c>
      <c r="H213" s="14"/>
    </row>
    <row r="214" spans="1:8" x14ac:dyDescent="0.2">
      <c r="A214" t="s">
        <v>49</v>
      </c>
      <c r="B214" t="s">
        <v>68</v>
      </c>
      <c r="C214" s="14">
        <v>1994</v>
      </c>
      <c r="D214" t="str">
        <f t="shared" si="6"/>
        <v>yes</v>
      </c>
      <c r="E214">
        <f>COUNTIF($B$8:$B$1006,"Peru")</f>
        <v>16</v>
      </c>
      <c r="F214" s="23"/>
      <c r="G214" s="3" t="str">
        <f t="shared" si="7"/>
        <v/>
      </c>
      <c r="H214" s="14"/>
    </row>
    <row r="215" spans="1:8" x14ac:dyDescent="0.2">
      <c r="A215" t="s">
        <v>74</v>
      </c>
      <c r="B215" t="s">
        <v>78</v>
      </c>
      <c r="C215" s="14">
        <v>1994</v>
      </c>
      <c r="D215" t="str">
        <f t="shared" si="6"/>
        <v>yes</v>
      </c>
      <c r="E215">
        <f>COUNTIF($B$8:$B$1006,"Iran")</f>
        <v>5</v>
      </c>
      <c r="F215" s="23"/>
      <c r="G215" s="3" t="str">
        <f t="shared" si="7"/>
        <v/>
      </c>
      <c r="H215" s="14"/>
    </row>
    <row r="216" spans="1:8" x14ac:dyDescent="0.2">
      <c r="A216" t="s">
        <v>87</v>
      </c>
      <c r="B216" t="s">
        <v>89</v>
      </c>
      <c r="C216" s="14">
        <v>1994</v>
      </c>
      <c r="D216" t="str">
        <f t="shared" si="6"/>
        <v>yes</v>
      </c>
      <c r="E216">
        <f>COUNTIF($B$8:$B$1006,"India")</f>
        <v>5</v>
      </c>
      <c r="F216" s="23"/>
      <c r="G216" s="3" t="str">
        <f t="shared" si="7"/>
        <v/>
      </c>
      <c r="H216" s="14"/>
    </row>
    <row r="217" spans="1:8" x14ac:dyDescent="0.2">
      <c r="A217" t="s">
        <v>95</v>
      </c>
      <c r="B217" t="s">
        <v>97</v>
      </c>
      <c r="C217" s="14">
        <v>1994</v>
      </c>
      <c r="D217" t="str">
        <f t="shared" si="6"/>
        <v>yes</v>
      </c>
      <c r="E217">
        <f>COUNTIF($B$8:$B$1006,"Botswana")</f>
        <v>2</v>
      </c>
      <c r="F217" s="23"/>
      <c r="G217" s="3" t="str">
        <f t="shared" si="7"/>
        <v/>
      </c>
      <c r="H217" s="14"/>
    </row>
    <row r="218" spans="1:8" x14ac:dyDescent="0.2">
      <c r="A218" t="s">
        <v>95</v>
      </c>
      <c r="B218" t="s">
        <v>98</v>
      </c>
      <c r="C218" s="14">
        <v>1994</v>
      </c>
      <c r="D218" t="str">
        <f t="shared" si="6"/>
        <v>yes</v>
      </c>
      <c r="E218">
        <f>COUNTIF($B$8:$B$1006,"Burkina Faso")</f>
        <v>4</v>
      </c>
      <c r="F218" s="23"/>
      <c r="G218" s="3">
        <f t="shared" si="7"/>
        <v>1</v>
      </c>
      <c r="H218" s="14" t="s">
        <v>98</v>
      </c>
    </row>
    <row r="219" spans="1:8" x14ac:dyDescent="0.2">
      <c r="A219" t="s">
        <v>95</v>
      </c>
      <c r="B219" t="s">
        <v>112</v>
      </c>
      <c r="C219" s="14">
        <v>1994</v>
      </c>
      <c r="D219" t="str">
        <f t="shared" si="6"/>
        <v>yes</v>
      </c>
      <c r="E219">
        <f>COUNTIF($B$8:$B$1006,"Guinea")</f>
        <v>4</v>
      </c>
      <c r="F219" s="23"/>
      <c r="G219" s="3" t="str">
        <f t="shared" si="7"/>
        <v/>
      </c>
      <c r="H219" s="14"/>
    </row>
    <row r="220" spans="1:8" x14ac:dyDescent="0.2">
      <c r="A220" t="s">
        <v>95</v>
      </c>
      <c r="B220" t="s">
        <v>114</v>
      </c>
      <c r="C220" s="14">
        <v>1994</v>
      </c>
      <c r="D220" t="str">
        <f t="shared" si="6"/>
        <v>yes</v>
      </c>
      <c r="E220">
        <f>COUNTIF($B$8:$B$1006,"Kenya")</f>
        <v>4</v>
      </c>
      <c r="F220" s="23"/>
      <c r="G220" s="3" t="str">
        <f t="shared" si="7"/>
        <v/>
      </c>
      <c r="H220" s="14"/>
    </row>
    <row r="221" spans="1:8" x14ac:dyDescent="0.2">
      <c r="A221" t="s">
        <v>95</v>
      </c>
      <c r="B221" t="s">
        <v>115</v>
      </c>
      <c r="C221" s="14">
        <v>1994</v>
      </c>
      <c r="D221" t="str">
        <f t="shared" si="6"/>
        <v>yes</v>
      </c>
      <c r="E221">
        <f>COUNTIF($B$8:$B$1006,"Lesotho")</f>
        <v>4</v>
      </c>
      <c r="F221" s="23"/>
      <c r="G221" s="3" t="str">
        <f t="shared" si="7"/>
        <v/>
      </c>
      <c r="H221" s="14"/>
    </row>
    <row r="222" spans="1:8" x14ac:dyDescent="0.2">
      <c r="A222" t="s">
        <v>95</v>
      </c>
      <c r="B222" t="s">
        <v>119</v>
      </c>
      <c r="C222" s="14">
        <v>1994</v>
      </c>
      <c r="D222" t="str">
        <f t="shared" si="6"/>
        <v>yes</v>
      </c>
      <c r="E222">
        <f>COUNTIF($B$8:$B$1006,"Mali")</f>
        <v>4</v>
      </c>
      <c r="F222" s="23"/>
      <c r="G222" s="3">
        <f t="shared" si="7"/>
        <v>1</v>
      </c>
      <c r="H222" s="14" t="s">
        <v>119</v>
      </c>
    </row>
    <row r="223" spans="1:8" x14ac:dyDescent="0.2">
      <c r="A223" t="s">
        <v>95</v>
      </c>
      <c r="B223" t="s">
        <v>123</v>
      </c>
      <c r="C223" s="14">
        <v>1994</v>
      </c>
      <c r="D223" t="str">
        <f t="shared" si="6"/>
        <v>yes</v>
      </c>
      <c r="E223">
        <f>COUNTIF($B$8:$B$1006,"Niger")</f>
        <v>4</v>
      </c>
      <c r="F223" s="23"/>
      <c r="G223" s="3" t="str">
        <f t="shared" si="7"/>
        <v/>
      </c>
      <c r="H223" s="14"/>
    </row>
    <row r="224" spans="1:8" x14ac:dyDescent="0.2">
      <c r="A224" t="s">
        <v>95</v>
      </c>
      <c r="B224" t="s">
        <v>127</v>
      </c>
      <c r="C224" s="14">
        <v>1994</v>
      </c>
      <c r="D224" t="str">
        <f t="shared" si="6"/>
        <v>yes</v>
      </c>
      <c r="E224">
        <f>COUNTIF($B$8:$B$1006,"Senegal")</f>
        <v>4</v>
      </c>
      <c r="F224" s="23"/>
      <c r="G224" s="3" t="str">
        <f t="shared" si="7"/>
        <v/>
      </c>
      <c r="H224" s="14"/>
    </row>
    <row r="225" spans="1:8" x14ac:dyDescent="0.2">
      <c r="A225" t="s">
        <v>4</v>
      </c>
      <c r="B225" t="s">
        <v>7</v>
      </c>
      <c r="C225" s="14">
        <v>1995</v>
      </c>
      <c r="D225" t="str">
        <f t="shared" si="6"/>
        <v>yes</v>
      </c>
      <c r="E225">
        <f>COUNTIF($B$8:$B$1006,"China")</f>
        <v>17</v>
      </c>
      <c r="F225" s="23"/>
      <c r="G225" s="3" t="str">
        <f t="shared" si="7"/>
        <v/>
      </c>
      <c r="H225" s="14"/>
    </row>
    <row r="226" spans="1:8" x14ac:dyDescent="0.2">
      <c r="A226" t="s">
        <v>4</v>
      </c>
      <c r="B226" t="s">
        <v>12</v>
      </c>
      <c r="C226" s="14">
        <v>1995</v>
      </c>
      <c r="D226" t="str">
        <f t="shared" si="6"/>
        <v>yes</v>
      </c>
      <c r="E226">
        <f>COUNTIF($B$8:$B$1006,"Malaysia")</f>
        <v>9</v>
      </c>
      <c r="F226" s="23"/>
      <c r="G226" s="3" t="str">
        <f t="shared" si="7"/>
        <v/>
      </c>
      <c r="H226" s="14"/>
    </row>
    <row r="227" spans="1:8" x14ac:dyDescent="0.2">
      <c r="A227" t="s">
        <v>19</v>
      </c>
      <c r="B227" t="s">
        <v>22</v>
      </c>
      <c r="C227" s="14">
        <v>1995</v>
      </c>
      <c r="D227" t="str">
        <f t="shared" si="6"/>
        <v>yes</v>
      </c>
      <c r="E227">
        <f>COUNTIF($B$8:$B$1006,"Azerbaijan")</f>
        <v>3</v>
      </c>
      <c r="F227" s="23"/>
      <c r="G227" s="3">
        <f t="shared" si="7"/>
        <v>1</v>
      </c>
      <c r="H227" s="14" t="s">
        <v>22</v>
      </c>
    </row>
    <row r="228" spans="1:8" x14ac:dyDescent="0.2">
      <c r="A228" t="s">
        <v>19</v>
      </c>
      <c r="B228" t="s">
        <v>23</v>
      </c>
      <c r="C228" s="14">
        <v>1995</v>
      </c>
      <c r="D228" t="str">
        <f t="shared" si="6"/>
        <v>yes</v>
      </c>
      <c r="E228">
        <f>COUNTIF($B$8:$B$1006,"Belarus")</f>
        <v>12</v>
      </c>
      <c r="F228" s="23"/>
      <c r="G228" s="3" t="str">
        <f t="shared" si="7"/>
        <v/>
      </c>
      <c r="H228" s="14"/>
    </row>
    <row r="229" spans="1:8" x14ac:dyDescent="0.2">
      <c r="A229" t="s">
        <v>19</v>
      </c>
      <c r="B229" t="s">
        <v>25</v>
      </c>
      <c r="C229" s="14">
        <v>1995</v>
      </c>
      <c r="D229" t="str">
        <f t="shared" si="6"/>
        <v>yes</v>
      </c>
      <c r="E229">
        <f>COUNTIF($B$8:$B$1006,"Bulgaria")</f>
        <v>8</v>
      </c>
      <c r="F229" s="23"/>
      <c r="G229" s="3" t="str">
        <f t="shared" si="7"/>
        <v/>
      </c>
      <c r="H229" s="14"/>
    </row>
    <row r="230" spans="1:8" x14ac:dyDescent="0.2">
      <c r="A230" t="s">
        <v>19</v>
      </c>
      <c r="B230" t="s">
        <v>28</v>
      </c>
      <c r="C230" s="14">
        <v>1995</v>
      </c>
      <c r="D230" t="str">
        <f t="shared" si="6"/>
        <v>yes</v>
      </c>
      <c r="E230">
        <f>COUNTIF($B$8:$B$1006,"Estonia")</f>
        <v>9</v>
      </c>
      <c r="F230" s="23"/>
      <c r="G230" s="3" t="str">
        <f t="shared" si="7"/>
        <v/>
      </c>
      <c r="H230" s="14"/>
    </row>
    <row r="231" spans="1:8" x14ac:dyDescent="0.2">
      <c r="A231" t="s">
        <v>19</v>
      </c>
      <c r="B231" t="s">
        <v>33</v>
      </c>
      <c r="C231" s="14">
        <v>1995</v>
      </c>
      <c r="D231" t="str">
        <f t="shared" si="6"/>
        <v>yes</v>
      </c>
      <c r="E231">
        <f>COUNTIF($B$8:$B$1006,"Latvia")</f>
        <v>11</v>
      </c>
      <c r="F231" s="23"/>
      <c r="G231" s="3" t="str">
        <f t="shared" si="7"/>
        <v/>
      </c>
      <c r="H231" s="14"/>
    </row>
    <row r="232" spans="1:8" x14ac:dyDescent="0.2">
      <c r="A232" t="s">
        <v>19</v>
      </c>
      <c r="B232" t="s">
        <v>47</v>
      </c>
      <c r="C232" s="14">
        <v>1995</v>
      </c>
      <c r="D232" t="str">
        <f t="shared" si="6"/>
        <v>yes</v>
      </c>
      <c r="E232">
        <f>COUNTIF($B$8:$B$1006,"Ukraine")</f>
        <v>13</v>
      </c>
      <c r="F232" s="23"/>
      <c r="G232" s="3" t="str">
        <f t="shared" si="7"/>
        <v/>
      </c>
      <c r="H232" s="14"/>
    </row>
    <row r="233" spans="1:8" x14ac:dyDescent="0.2">
      <c r="A233" t="s">
        <v>49</v>
      </c>
      <c r="B233" t="s">
        <v>48</v>
      </c>
      <c r="C233" s="14">
        <v>1995</v>
      </c>
      <c r="D233" t="str">
        <f t="shared" si="6"/>
        <v>yes</v>
      </c>
      <c r="E233">
        <f>COUNTIF($B$8:$B$1006,"Argentina")</f>
        <v>22</v>
      </c>
      <c r="F233" s="23"/>
      <c r="G233" s="3" t="str">
        <f t="shared" si="7"/>
        <v/>
      </c>
      <c r="H233" s="14"/>
    </row>
    <row r="234" spans="1:8" x14ac:dyDescent="0.2">
      <c r="A234" t="s">
        <v>49</v>
      </c>
      <c r="B234" t="s">
        <v>50</v>
      </c>
      <c r="C234" s="14">
        <v>1995</v>
      </c>
      <c r="D234" t="str">
        <f t="shared" si="6"/>
        <v>yes</v>
      </c>
      <c r="E234">
        <f>COUNTIF($B$8:$B$1006,"Belize")</f>
        <v>7</v>
      </c>
      <c r="F234" s="23"/>
      <c r="G234" s="3" t="str">
        <f t="shared" si="7"/>
        <v/>
      </c>
      <c r="H234" s="14"/>
    </row>
    <row r="235" spans="1:8" x14ac:dyDescent="0.2">
      <c r="A235" t="s">
        <v>49</v>
      </c>
      <c r="B235" t="s">
        <v>52</v>
      </c>
      <c r="C235" s="14">
        <v>1995</v>
      </c>
      <c r="D235" t="str">
        <f t="shared" si="6"/>
        <v>yes</v>
      </c>
      <c r="E235">
        <f>COUNTIF($B$8:$B$1006,"Brazil")</f>
        <v>26</v>
      </c>
      <c r="F235" s="23"/>
      <c r="G235" s="3" t="str">
        <f t="shared" si="7"/>
        <v/>
      </c>
      <c r="H235" s="14"/>
    </row>
    <row r="236" spans="1:8" x14ac:dyDescent="0.2">
      <c r="A236" t="s">
        <v>49</v>
      </c>
      <c r="B236" t="s">
        <v>55</v>
      </c>
      <c r="C236" s="14">
        <v>1995</v>
      </c>
      <c r="D236" t="str">
        <f t="shared" si="6"/>
        <v>yes</v>
      </c>
      <c r="E236">
        <f>COUNTIF($B$8:$B$1006,"Costa Rica")</f>
        <v>23</v>
      </c>
      <c r="F236" s="23"/>
      <c r="G236" s="3" t="str">
        <f t="shared" si="7"/>
        <v/>
      </c>
      <c r="H236" s="14"/>
    </row>
    <row r="237" spans="1:8" x14ac:dyDescent="0.2">
      <c r="A237" t="s">
        <v>49</v>
      </c>
      <c r="B237" t="s">
        <v>57</v>
      </c>
      <c r="C237" s="14">
        <v>1995</v>
      </c>
      <c r="D237" t="str">
        <f t="shared" si="6"/>
        <v>yes</v>
      </c>
      <c r="E237">
        <f>COUNTIF($B$8:$B$1006,"Ecuador")</f>
        <v>13</v>
      </c>
      <c r="F237" s="23"/>
      <c r="G237" s="3" t="str">
        <f t="shared" si="7"/>
        <v/>
      </c>
      <c r="H237" s="14"/>
    </row>
    <row r="238" spans="1:8" x14ac:dyDescent="0.2">
      <c r="A238" t="s">
        <v>49</v>
      </c>
      <c r="B238" t="s">
        <v>58</v>
      </c>
      <c r="C238" s="14">
        <v>1995</v>
      </c>
      <c r="D238" t="str">
        <f t="shared" si="6"/>
        <v>yes</v>
      </c>
      <c r="E238">
        <f>COUNTIF($B$8:$B$1006,"El Salvador")</f>
        <v>15</v>
      </c>
      <c r="F238" s="23"/>
      <c r="G238" s="3" t="str">
        <f t="shared" si="7"/>
        <v/>
      </c>
      <c r="H238" s="14"/>
    </row>
    <row r="239" spans="1:8" x14ac:dyDescent="0.2">
      <c r="A239" t="s">
        <v>49</v>
      </c>
      <c r="B239" t="s">
        <v>62</v>
      </c>
      <c r="C239" s="14">
        <v>1995</v>
      </c>
      <c r="D239" t="str">
        <f t="shared" si="6"/>
        <v>yes</v>
      </c>
      <c r="E239">
        <f>COUNTIF($B$8:$B$1006,"Honduras")</f>
        <v>21</v>
      </c>
      <c r="F239" s="23"/>
      <c r="G239" s="3" t="str">
        <f t="shared" si="7"/>
        <v/>
      </c>
      <c r="H239" s="14"/>
    </row>
    <row r="240" spans="1:8" x14ac:dyDescent="0.2">
      <c r="A240" t="s">
        <v>49</v>
      </c>
      <c r="B240" t="s">
        <v>66</v>
      </c>
      <c r="C240" s="14">
        <v>1995</v>
      </c>
      <c r="D240" t="str">
        <f t="shared" si="6"/>
        <v>yes</v>
      </c>
      <c r="E240">
        <f>COUNTIF($B$8:$B$1006,"Panama")</f>
        <v>13</v>
      </c>
      <c r="F240" s="23"/>
      <c r="G240" s="3" t="str">
        <f t="shared" si="7"/>
        <v/>
      </c>
      <c r="H240" s="14"/>
    </row>
    <row r="241" spans="1:8" x14ac:dyDescent="0.2">
      <c r="A241" t="s">
        <v>49</v>
      </c>
      <c r="B241" t="s">
        <v>67</v>
      </c>
      <c r="C241" s="14">
        <v>1995</v>
      </c>
      <c r="D241" t="str">
        <f t="shared" si="6"/>
        <v>yes</v>
      </c>
      <c r="E241">
        <f>COUNTIF($B$8:$B$1006,"Paraguay")</f>
        <v>14</v>
      </c>
      <c r="F241" s="23"/>
      <c r="G241" s="3" t="str">
        <f t="shared" si="7"/>
        <v/>
      </c>
      <c r="H241" s="14"/>
    </row>
    <row r="242" spans="1:8" x14ac:dyDescent="0.2">
      <c r="A242" t="s">
        <v>49</v>
      </c>
      <c r="B242" t="s">
        <v>69</v>
      </c>
      <c r="C242" s="14">
        <v>1995</v>
      </c>
      <c r="D242" t="str">
        <f t="shared" si="6"/>
        <v>yes</v>
      </c>
      <c r="E242">
        <f>COUNTIF($B$8:$B$1006,"St. Lucia")</f>
        <v>1</v>
      </c>
      <c r="F242" s="23"/>
      <c r="G242" s="3">
        <f t="shared" si="7"/>
        <v>1</v>
      </c>
      <c r="H242" s="14" t="s">
        <v>69</v>
      </c>
    </row>
    <row r="243" spans="1:8" x14ac:dyDescent="0.2">
      <c r="A243" t="s">
        <v>49</v>
      </c>
      <c r="B243" t="s">
        <v>72</v>
      </c>
      <c r="C243" s="14">
        <v>1995</v>
      </c>
      <c r="D243" t="str">
        <f t="shared" si="6"/>
        <v>yes</v>
      </c>
      <c r="E243">
        <f>COUNTIF($B$8:$B$1006,"Uruguay")</f>
        <v>18</v>
      </c>
      <c r="F243" s="23"/>
      <c r="G243" s="3" t="str">
        <f t="shared" si="7"/>
        <v/>
      </c>
      <c r="H243" s="14"/>
    </row>
    <row r="244" spans="1:8" x14ac:dyDescent="0.2">
      <c r="A244" t="s">
        <v>49</v>
      </c>
      <c r="B244" t="s">
        <v>73</v>
      </c>
      <c r="C244" s="14">
        <v>1995</v>
      </c>
      <c r="D244" t="str">
        <f t="shared" si="6"/>
        <v>yes</v>
      </c>
      <c r="E244">
        <f>COUNTIF($B$8:$B$1006,"Venezuela")</f>
        <v>13</v>
      </c>
      <c r="F244" s="23"/>
      <c r="G244" s="3" t="str">
        <f t="shared" si="7"/>
        <v/>
      </c>
      <c r="H244" s="14"/>
    </row>
    <row r="245" spans="1:8" x14ac:dyDescent="0.2">
      <c r="A245" t="s">
        <v>74</v>
      </c>
      <c r="B245" t="s">
        <v>75</v>
      </c>
      <c r="C245" s="14">
        <v>1995</v>
      </c>
      <c r="D245" t="str">
        <f t="shared" si="6"/>
        <v>yes</v>
      </c>
      <c r="E245">
        <f>COUNTIF($B$8:$B$1006,"Algeria")</f>
        <v>2</v>
      </c>
      <c r="F245" s="23"/>
      <c r="G245" s="3" t="str">
        <f t="shared" si="7"/>
        <v/>
      </c>
      <c r="H245" s="14"/>
    </row>
    <row r="246" spans="1:8" x14ac:dyDescent="0.2">
      <c r="A246" t="s">
        <v>74</v>
      </c>
      <c r="B246" t="s">
        <v>83</v>
      </c>
      <c r="C246" s="14">
        <v>1995</v>
      </c>
      <c r="D246" t="str">
        <f t="shared" si="6"/>
        <v>yes</v>
      </c>
      <c r="E246">
        <f>COUNTIF($B$8:$B$1006,"Tunisia")</f>
        <v>5</v>
      </c>
      <c r="F246" s="23"/>
      <c r="G246" s="3" t="str">
        <f t="shared" si="7"/>
        <v/>
      </c>
      <c r="H246" s="14"/>
    </row>
    <row r="247" spans="1:8" x14ac:dyDescent="0.2">
      <c r="A247" t="s">
        <v>95</v>
      </c>
      <c r="B247" t="s">
        <v>107</v>
      </c>
      <c r="C247" s="14">
        <v>1995</v>
      </c>
      <c r="D247" t="str">
        <f t="shared" si="6"/>
        <v>yes</v>
      </c>
      <c r="E247">
        <f>COUNTIF($B$8:$B$1006,"Cote D'Ivoire")</f>
        <v>9</v>
      </c>
      <c r="F247" s="23"/>
      <c r="G247" s="3" t="str">
        <f t="shared" si="7"/>
        <v/>
      </c>
      <c r="H247" s="14"/>
    </row>
    <row r="248" spans="1:8" x14ac:dyDescent="0.2">
      <c r="A248" t="s">
        <v>95</v>
      </c>
      <c r="B248" t="s">
        <v>108</v>
      </c>
      <c r="C248" s="14">
        <v>1995</v>
      </c>
      <c r="D248" t="str">
        <f t="shared" si="6"/>
        <v>yes</v>
      </c>
      <c r="E248">
        <f>COUNTIF($B$8:$B$1006,"Ethiopia")</f>
        <v>4</v>
      </c>
      <c r="F248" s="23"/>
      <c r="G248" s="3" t="str">
        <f t="shared" si="7"/>
        <v/>
      </c>
      <c r="H248" s="14"/>
    </row>
    <row r="249" spans="1:8" x14ac:dyDescent="0.2">
      <c r="A249" t="s">
        <v>95</v>
      </c>
      <c r="B249" t="s">
        <v>130</v>
      </c>
      <c r="C249" s="14">
        <v>1995</v>
      </c>
      <c r="D249" t="str">
        <f t="shared" si="6"/>
        <v>yes</v>
      </c>
      <c r="E249">
        <f>COUNTIF($B$8:$B$1006,"South Africa")</f>
        <v>5</v>
      </c>
      <c r="F249" s="23"/>
      <c r="G249" s="3" t="str">
        <f t="shared" si="7"/>
        <v/>
      </c>
      <c r="H249" s="14"/>
    </row>
    <row r="250" spans="1:8" x14ac:dyDescent="0.2">
      <c r="A250" t="s">
        <v>95</v>
      </c>
      <c r="B250" t="s">
        <v>132</v>
      </c>
      <c r="C250" s="14">
        <v>1995</v>
      </c>
      <c r="D250" t="str">
        <f t="shared" si="6"/>
        <v>yes</v>
      </c>
      <c r="E250">
        <f>COUNTIF($B$8:$B$1006,"Swaziland")</f>
        <v>3</v>
      </c>
      <c r="F250" s="23"/>
      <c r="G250" s="3">
        <f t="shared" si="7"/>
        <v>1</v>
      </c>
      <c r="H250" s="14" t="s">
        <v>132</v>
      </c>
    </row>
    <row r="251" spans="1:8" x14ac:dyDescent="0.2">
      <c r="A251" t="s">
        <v>4</v>
      </c>
      <c r="B251" t="s">
        <v>7</v>
      </c>
      <c r="C251" s="14">
        <v>1996</v>
      </c>
      <c r="D251" t="str">
        <f t="shared" si="6"/>
        <v>yes</v>
      </c>
      <c r="E251">
        <f>COUNTIF($B$8:$B$1006,"China")</f>
        <v>17</v>
      </c>
      <c r="F251" s="23"/>
      <c r="G251" s="3" t="str">
        <f t="shared" si="7"/>
        <v/>
      </c>
      <c r="H251" s="14"/>
    </row>
    <row r="252" spans="1:8" x14ac:dyDescent="0.2">
      <c r="A252" t="s">
        <v>4</v>
      </c>
      <c r="B252" t="s">
        <v>10</v>
      </c>
      <c r="C252" s="14">
        <v>1996</v>
      </c>
      <c r="D252" t="str">
        <f t="shared" si="6"/>
        <v>yes</v>
      </c>
      <c r="E252">
        <f>COUNTIF($B$8:$B$1006,"Indonesia")</f>
        <v>14</v>
      </c>
      <c r="F252" s="23"/>
      <c r="G252" s="3" t="str">
        <f t="shared" si="7"/>
        <v/>
      </c>
      <c r="H252" s="14"/>
    </row>
    <row r="253" spans="1:8" x14ac:dyDescent="0.2">
      <c r="A253" t="s">
        <v>4</v>
      </c>
      <c r="B253" t="s">
        <v>14</v>
      </c>
      <c r="C253" s="14">
        <v>1996</v>
      </c>
      <c r="D253" t="str">
        <f t="shared" si="6"/>
        <v>yes</v>
      </c>
      <c r="E253">
        <f>COUNTIF($B$8:$B$1006,"Papua New Guinea")</f>
        <v>1</v>
      </c>
      <c r="F253" s="23"/>
      <c r="G253" s="3">
        <f t="shared" si="7"/>
        <v>1</v>
      </c>
      <c r="H253" s="14" t="s">
        <v>14</v>
      </c>
    </row>
    <row r="254" spans="1:8" x14ac:dyDescent="0.2">
      <c r="A254" t="s">
        <v>4</v>
      </c>
      <c r="B254" t="s">
        <v>16</v>
      </c>
      <c r="C254" s="14">
        <v>1996</v>
      </c>
      <c r="D254" t="str">
        <f t="shared" si="6"/>
        <v>yes</v>
      </c>
      <c r="E254">
        <f>COUNTIF($B$8:$B$1006,"Thailand")</f>
        <v>13</v>
      </c>
      <c r="F254" s="23"/>
      <c r="G254" s="3" t="str">
        <f t="shared" si="7"/>
        <v/>
      </c>
      <c r="H254" s="14"/>
    </row>
    <row r="255" spans="1:8" x14ac:dyDescent="0.2">
      <c r="A255" t="s">
        <v>19</v>
      </c>
      <c r="B255" t="s">
        <v>21</v>
      </c>
      <c r="C255" s="14">
        <v>1996</v>
      </c>
      <c r="D255" t="str">
        <f t="shared" si="6"/>
        <v>yes</v>
      </c>
      <c r="E255">
        <f>COUNTIF($B$8:$B$1006,"Armenia")</f>
        <v>10</v>
      </c>
      <c r="F255" s="23"/>
      <c r="G255" s="3">
        <f t="shared" si="7"/>
        <v>1</v>
      </c>
      <c r="H255" s="14" t="s">
        <v>21</v>
      </c>
    </row>
    <row r="256" spans="1:8" x14ac:dyDescent="0.2">
      <c r="A256" t="s">
        <v>19</v>
      </c>
      <c r="B256" t="s">
        <v>27</v>
      </c>
      <c r="C256" s="14">
        <v>1996</v>
      </c>
      <c r="D256" t="str">
        <f t="shared" si="6"/>
        <v>yes</v>
      </c>
      <c r="E256">
        <f>COUNTIF($B$8:$B$1006,"Czech Republic")</f>
        <v>3</v>
      </c>
      <c r="F256" s="23"/>
      <c r="G256" s="3" t="str">
        <f t="shared" si="7"/>
        <v/>
      </c>
      <c r="H256" s="14"/>
    </row>
    <row r="257" spans="1:8" x14ac:dyDescent="0.2">
      <c r="A257" t="s">
        <v>19</v>
      </c>
      <c r="B257" t="s">
        <v>29</v>
      </c>
      <c r="C257" s="14">
        <v>1996</v>
      </c>
      <c r="D257" t="str">
        <f t="shared" si="6"/>
        <v>yes</v>
      </c>
      <c r="E257">
        <f>COUNTIF($B$8:$B$1006,"Georgia")</f>
        <v>12</v>
      </c>
      <c r="F257" s="23"/>
      <c r="G257" s="3">
        <f t="shared" si="7"/>
        <v>1</v>
      </c>
      <c r="H257" s="14" t="s">
        <v>29</v>
      </c>
    </row>
    <row r="258" spans="1:8" x14ac:dyDescent="0.2">
      <c r="A258" t="s">
        <v>19</v>
      </c>
      <c r="B258" t="s">
        <v>31</v>
      </c>
      <c r="C258" s="14">
        <v>1996</v>
      </c>
      <c r="D258" t="str">
        <f t="shared" si="6"/>
        <v>yes</v>
      </c>
      <c r="E258">
        <f>COUNTIF($B$8:$B$1006,"Kazakhstan")</f>
        <v>11</v>
      </c>
      <c r="F258" s="23"/>
      <c r="G258" s="3" t="str">
        <f t="shared" si="7"/>
        <v/>
      </c>
      <c r="H258" s="14"/>
    </row>
    <row r="259" spans="1:8" x14ac:dyDescent="0.2">
      <c r="A259" t="s">
        <v>19</v>
      </c>
      <c r="B259" t="s">
        <v>33</v>
      </c>
      <c r="C259" s="14">
        <v>1996</v>
      </c>
      <c r="D259" t="str">
        <f t="shared" si="6"/>
        <v>yes</v>
      </c>
      <c r="E259">
        <f>COUNTIF($B$8:$B$1006,"Latvia")</f>
        <v>11</v>
      </c>
      <c r="F259" s="23"/>
      <c r="G259" s="3" t="str">
        <f t="shared" si="7"/>
        <v/>
      </c>
      <c r="H259" s="14"/>
    </row>
    <row r="260" spans="1:8" x14ac:dyDescent="0.2">
      <c r="A260" t="s">
        <v>19</v>
      </c>
      <c r="B260" t="s">
        <v>34</v>
      </c>
      <c r="C260" s="14">
        <v>1996</v>
      </c>
      <c r="D260" t="str">
        <f t="shared" si="6"/>
        <v>yes</v>
      </c>
      <c r="E260">
        <f>COUNTIF($B$8:$B$1006,"Lithuania")</f>
        <v>9</v>
      </c>
      <c r="F260" s="23"/>
      <c r="G260" s="3" t="str">
        <f t="shared" si="7"/>
        <v/>
      </c>
      <c r="H260" s="14"/>
    </row>
    <row r="261" spans="1:8" x14ac:dyDescent="0.2">
      <c r="A261" t="s">
        <v>19</v>
      </c>
      <c r="B261" t="s">
        <v>38</v>
      </c>
      <c r="C261" s="14">
        <v>1996</v>
      </c>
      <c r="D261" t="str">
        <f t="shared" si="6"/>
        <v>yes</v>
      </c>
      <c r="E261">
        <f>COUNTIF($B$8:$B$1006,"Poland")</f>
        <v>17</v>
      </c>
      <c r="F261" s="23"/>
      <c r="G261" s="3" t="str">
        <f t="shared" si="7"/>
        <v/>
      </c>
      <c r="H261" s="14"/>
    </row>
    <row r="262" spans="1:8" x14ac:dyDescent="0.2">
      <c r="A262" t="s">
        <v>19</v>
      </c>
      <c r="B262" t="s">
        <v>40</v>
      </c>
      <c r="C262" s="14">
        <v>1996</v>
      </c>
      <c r="D262" t="str">
        <f t="shared" si="6"/>
        <v>yes</v>
      </c>
      <c r="E262">
        <f>COUNTIF($B$8:$B$1006,"Russian Federation")</f>
        <v>13</v>
      </c>
      <c r="F262" s="23"/>
      <c r="G262" s="3" t="str">
        <f t="shared" si="7"/>
        <v/>
      </c>
      <c r="H262" s="14"/>
    </row>
    <row r="263" spans="1:8" x14ac:dyDescent="0.2">
      <c r="A263" t="s">
        <v>19</v>
      </c>
      <c r="B263" t="s">
        <v>42</v>
      </c>
      <c r="C263" s="14">
        <v>1996</v>
      </c>
      <c r="D263" t="str">
        <f t="shared" si="6"/>
        <v>yes</v>
      </c>
      <c r="E263">
        <f>COUNTIF($B$8:$B$1006,"Slovak Republic")</f>
        <v>9</v>
      </c>
      <c r="F263" s="23"/>
      <c r="G263" s="3" t="str">
        <f t="shared" si="7"/>
        <v/>
      </c>
      <c r="H263" s="14"/>
    </row>
    <row r="264" spans="1:8" x14ac:dyDescent="0.2">
      <c r="A264" t="s">
        <v>19</v>
      </c>
      <c r="B264" t="s">
        <v>47</v>
      </c>
      <c r="C264" s="14">
        <v>1996</v>
      </c>
      <c r="D264" t="str">
        <f t="shared" ref="D264:D327" si="8">IF(F264="LSMS","no","yes")</f>
        <v>yes</v>
      </c>
      <c r="E264">
        <f>COUNTIF($B$8:$B$1006,"Ukraine")</f>
        <v>13</v>
      </c>
      <c r="F264" s="23"/>
      <c r="G264" s="3" t="str">
        <f t="shared" ref="G264:G327" si="9">IF(H264="","",1)</f>
        <v/>
      </c>
      <c r="H264" s="14"/>
    </row>
    <row r="265" spans="1:8" x14ac:dyDescent="0.2">
      <c r="A265" t="s">
        <v>49</v>
      </c>
      <c r="B265" t="s">
        <v>48</v>
      </c>
      <c r="C265" s="14">
        <v>1996</v>
      </c>
      <c r="D265" t="str">
        <f t="shared" si="8"/>
        <v>yes</v>
      </c>
      <c r="E265">
        <f>COUNTIF($B$8:$B$1006,"Argentina")</f>
        <v>22</v>
      </c>
      <c r="F265" s="23"/>
      <c r="G265" s="3" t="str">
        <f t="shared" si="9"/>
        <v/>
      </c>
      <c r="H265" s="14"/>
    </row>
    <row r="266" spans="1:8" x14ac:dyDescent="0.2">
      <c r="A266" t="s">
        <v>49</v>
      </c>
      <c r="B266" t="s">
        <v>50</v>
      </c>
      <c r="C266" s="14">
        <v>1996</v>
      </c>
      <c r="D266" t="str">
        <f t="shared" si="8"/>
        <v>yes</v>
      </c>
      <c r="E266">
        <f>COUNTIF($B$8:$B$1006,"Belize")</f>
        <v>7</v>
      </c>
      <c r="F266" s="23"/>
      <c r="G266" s="3" t="str">
        <f t="shared" si="9"/>
        <v/>
      </c>
      <c r="H266" s="14"/>
    </row>
    <row r="267" spans="1:8" x14ac:dyDescent="0.2">
      <c r="A267" t="s">
        <v>49</v>
      </c>
      <c r="B267" t="s">
        <v>52</v>
      </c>
      <c r="C267" s="14">
        <v>1996</v>
      </c>
      <c r="D267" t="str">
        <f t="shared" si="8"/>
        <v>yes</v>
      </c>
      <c r="E267">
        <f>COUNTIF($B$8:$B$1006,"Brazil")</f>
        <v>26</v>
      </c>
      <c r="F267" s="23"/>
      <c r="G267" s="3" t="str">
        <f t="shared" si="9"/>
        <v/>
      </c>
      <c r="H267" s="14"/>
    </row>
    <row r="268" spans="1:8" x14ac:dyDescent="0.2">
      <c r="A268" t="s">
        <v>49</v>
      </c>
      <c r="B268" t="s">
        <v>53</v>
      </c>
      <c r="C268" s="14">
        <v>1996</v>
      </c>
      <c r="D268" t="str">
        <f t="shared" si="8"/>
        <v>yes</v>
      </c>
      <c r="E268">
        <f>COUNTIF($B$8:$B$1006,"Chile")</f>
        <v>10</v>
      </c>
      <c r="F268" s="23"/>
      <c r="G268" s="3" t="str">
        <f t="shared" si="9"/>
        <v/>
      </c>
      <c r="H268" s="14"/>
    </row>
    <row r="269" spans="1:8" x14ac:dyDescent="0.2">
      <c r="A269" t="s">
        <v>49</v>
      </c>
      <c r="B269" t="s">
        <v>54</v>
      </c>
      <c r="C269" s="14">
        <v>1996</v>
      </c>
      <c r="D269" t="str">
        <f t="shared" si="8"/>
        <v>yes</v>
      </c>
      <c r="E269">
        <f>COUNTIF($B$8:$B$1006,"Colombia")</f>
        <v>18</v>
      </c>
      <c r="F269" s="23"/>
      <c r="G269" s="3" t="str">
        <f t="shared" si="9"/>
        <v/>
      </c>
      <c r="H269" s="14"/>
    </row>
    <row r="270" spans="1:8" x14ac:dyDescent="0.2">
      <c r="A270" t="s">
        <v>49</v>
      </c>
      <c r="B270" t="s">
        <v>55</v>
      </c>
      <c r="C270" s="14">
        <v>1996</v>
      </c>
      <c r="D270" t="str">
        <f t="shared" si="8"/>
        <v>yes</v>
      </c>
      <c r="E270">
        <f>COUNTIF($B$8:$B$1006,"Costa Rica")</f>
        <v>23</v>
      </c>
      <c r="F270" s="23"/>
      <c r="G270" s="3" t="str">
        <f t="shared" si="9"/>
        <v/>
      </c>
      <c r="H270" s="14"/>
    </row>
    <row r="271" spans="1:8" x14ac:dyDescent="0.2">
      <c r="A271" t="s">
        <v>49</v>
      </c>
      <c r="B271" t="s">
        <v>56</v>
      </c>
      <c r="C271" s="14">
        <v>1996</v>
      </c>
      <c r="D271" t="str">
        <f t="shared" si="8"/>
        <v>yes</v>
      </c>
      <c r="E271">
        <f>COUNTIF($B$8:$B$1006,"Dominican Republic")</f>
        <v>16</v>
      </c>
      <c r="F271" s="23"/>
      <c r="G271" s="3" t="str">
        <f t="shared" si="9"/>
        <v/>
      </c>
      <c r="H271" s="14"/>
    </row>
    <row r="272" spans="1:8" x14ac:dyDescent="0.2">
      <c r="A272" t="s">
        <v>49</v>
      </c>
      <c r="B272" t="s">
        <v>58</v>
      </c>
      <c r="C272" s="14">
        <v>1996</v>
      </c>
      <c r="D272" t="str">
        <f t="shared" si="8"/>
        <v>yes</v>
      </c>
      <c r="E272">
        <f>COUNTIF($B$8:$B$1006,"El Salvador")</f>
        <v>15</v>
      </c>
      <c r="F272" s="23"/>
      <c r="G272" s="3" t="str">
        <f t="shared" si="9"/>
        <v/>
      </c>
      <c r="H272" s="14"/>
    </row>
    <row r="273" spans="1:8" x14ac:dyDescent="0.2">
      <c r="A273" t="s">
        <v>49</v>
      </c>
      <c r="B273" t="s">
        <v>62</v>
      </c>
      <c r="C273" s="14">
        <v>1996</v>
      </c>
      <c r="D273" t="str">
        <f t="shared" si="8"/>
        <v>yes</v>
      </c>
      <c r="E273">
        <f>COUNTIF($B$8:$B$1006,"Honduras")</f>
        <v>21</v>
      </c>
      <c r="F273" s="23"/>
      <c r="G273" s="3" t="str">
        <f t="shared" si="9"/>
        <v/>
      </c>
      <c r="H273" s="14"/>
    </row>
    <row r="274" spans="1:8" x14ac:dyDescent="0.2">
      <c r="A274" t="s">
        <v>49</v>
      </c>
      <c r="B274" t="s">
        <v>63</v>
      </c>
      <c r="C274" s="14">
        <v>1996</v>
      </c>
      <c r="D274" t="str">
        <f t="shared" si="8"/>
        <v>yes</v>
      </c>
      <c r="E274">
        <f>COUNTIF($B$8:$B$1006,"Jamaica")</f>
        <v>8</v>
      </c>
      <c r="F274" s="23"/>
      <c r="G274" s="3" t="str">
        <f t="shared" si="9"/>
        <v/>
      </c>
      <c r="H274" s="14"/>
    </row>
    <row r="275" spans="1:8" x14ac:dyDescent="0.2">
      <c r="A275" t="s">
        <v>49</v>
      </c>
      <c r="B275" t="s">
        <v>64</v>
      </c>
      <c r="C275" s="14">
        <v>1996</v>
      </c>
      <c r="D275" t="str">
        <f t="shared" si="8"/>
        <v>yes</v>
      </c>
      <c r="E275">
        <f>COUNTIF($B$8:$B$1006,"Mexico")</f>
        <v>13</v>
      </c>
      <c r="F275" s="23"/>
      <c r="G275" s="3" t="str">
        <f t="shared" si="9"/>
        <v/>
      </c>
      <c r="H275" s="14"/>
    </row>
    <row r="276" spans="1:8" x14ac:dyDescent="0.2">
      <c r="A276" t="s">
        <v>49</v>
      </c>
      <c r="B276" t="s">
        <v>72</v>
      </c>
      <c r="C276" s="14">
        <v>1996</v>
      </c>
      <c r="D276" t="str">
        <f t="shared" si="8"/>
        <v>yes</v>
      </c>
      <c r="E276">
        <f>COUNTIF($B$8:$B$1006,"Uruguay")</f>
        <v>18</v>
      </c>
      <c r="F276" s="23"/>
      <c r="G276" s="3" t="str">
        <f t="shared" si="9"/>
        <v/>
      </c>
      <c r="H276" s="14"/>
    </row>
    <row r="277" spans="1:8" x14ac:dyDescent="0.2">
      <c r="A277" t="s">
        <v>74</v>
      </c>
      <c r="B277" t="s">
        <v>77</v>
      </c>
      <c r="C277" s="14">
        <v>1996</v>
      </c>
      <c r="D277" t="str">
        <f t="shared" si="8"/>
        <v>yes</v>
      </c>
      <c r="E277">
        <f>COUNTIF($B$8:$B$1006,"Egypt")</f>
        <v>5</v>
      </c>
      <c r="F277" s="23"/>
      <c r="G277" s="3" t="str">
        <f t="shared" si="9"/>
        <v/>
      </c>
      <c r="H277" s="14"/>
    </row>
    <row r="278" spans="1:8" x14ac:dyDescent="0.2">
      <c r="A278" t="s">
        <v>87</v>
      </c>
      <c r="B278" t="s">
        <v>86</v>
      </c>
      <c r="C278" s="14">
        <v>1996</v>
      </c>
      <c r="D278" t="str">
        <f t="shared" si="8"/>
        <v>yes</v>
      </c>
      <c r="E278">
        <f>COUNTIF($B$8:$B$1006,"Bangladesh")</f>
        <v>8</v>
      </c>
      <c r="F278" s="23"/>
      <c r="G278" s="3" t="str">
        <f t="shared" si="9"/>
        <v/>
      </c>
      <c r="H278" s="14"/>
    </row>
    <row r="279" spans="1:8" x14ac:dyDescent="0.2">
      <c r="A279" t="s">
        <v>87</v>
      </c>
      <c r="B279" t="s">
        <v>91</v>
      </c>
      <c r="C279" s="14">
        <v>1996</v>
      </c>
      <c r="D279" t="str">
        <f t="shared" si="8"/>
        <v>yes</v>
      </c>
      <c r="E279">
        <f>COUNTIF($B$8:$B$1006,"Nepal")</f>
        <v>4</v>
      </c>
      <c r="F279" s="23"/>
      <c r="G279" s="3" t="str">
        <f t="shared" si="9"/>
        <v/>
      </c>
      <c r="H279" s="14"/>
    </row>
    <row r="280" spans="1:8" x14ac:dyDescent="0.2">
      <c r="A280" t="s">
        <v>87</v>
      </c>
      <c r="B280" t="s">
        <v>93</v>
      </c>
      <c r="C280" s="14">
        <v>1996</v>
      </c>
      <c r="D280" t="str">
        <f t="shared" si="8"/>
        <v>yes</v>
      </c>
      <c r="E280">
        <f>COUNTIF($B$8:$B$1006,"Sri Lanka")</f>
        <v>5</v>
      </c>
      <c r="F280" s="23"/>
      <c r="G280" s="3" t="str">
        <f t="shared" si="9"/>
        <v/>
      </c>
      <c r="H280" s="14"/>
    </row>
    <row r="281" spans="1:8" x14ac:dyDescent="0.2">
      <c r="A281" t="s">
        <v>95</v>
      </c>
      <c r="B281" t="s">
        <v>100</v>
      </c>
      <c r="C281" s="14">
        <v>1996</v>
      </c>
      <c r="D281" t="str">
        <f t="shared" si="8"/>
        <v>yes</v>
      </c>
      <c r="E281">
        <f>COUNTIF($B$8:$B$1006,"Cameroon")</f>
        <v>3</v>
      </c>
      <c r="F281" s="23"/>
      <c r="G281" s="3">
        <f t="shared" si="9"/>
        <v>1</v>
      </c>
      <c r="H281" s="14" t="s">
        <v>100</v>
      </c>
    </row>
    <row r="282" spans="1:8" x14ac:dyDescent="0.2">
      <c r="A282" t="s">
        <v>95</v>
      </c>
      <c r="B282" t="s">
        <v>120</v>
      </c>
      <c r="C282" s="14">
        <v>1996</v>
      </c>
      <c r="D282" t="str">
        <f t="shared" si="8"/>
        <v>yes</v>
      </c>
      <c r="E282">
        <f>COUNTIF($B$8:$B$1006,"Mauritania")</f>
        <v>6</v>
      </c>
      <c r="F282" s="23"/>
      <c r="G282" s="3" t="str">
        <f t="shared" si="9"/>
        <v/>
      </c>
      <c r="H282" s="14"/>
    </row>
    <row r="283" spans="1:8" x14ac:dyDescent="0.2">
      <c r="A283" t="s">
        <v>95</v>
      </c>
      <c r="B283" t="s">
        <v>121</v>
      </c>
      <c r="C283" s="14">
        <v>1996</v>
      </c>
      <c r="D283" t="str">
        <f t="shared" si="8"/>
        <v>yes</v>
      </c>
      <c r="E283">
        <f>COUNTIF($B$8:$B$1006,"Mozambique")</f>
        <v>3</v>
      </c>
      <c r="F283" s="23"/>
      <c r="G283" s="3">
        <f t="shared" si="9"/>
        <v>1</v>
      </c>
      <c r="H283" s="14" t="s">
        <v>121</v>
      </c>
    </row>
    <row r="284" spans="1:8" x14ac:dyDescent="0.2">
      <c r="A284" t="s">
        <v>95</v>
      </c>
      <c r="B284" t="s">
        <v>124</v>
      </c>
      <c r="C284" s="14">
        <v>1996</v>
      </c>
      <c r="D284" t="str">
        <f t="shared" si="8"/>
        <v>yes</v>
      </c>
      <c r="E284">
        <f>COUNTIF($B$8:$B$1006,"Nigeria")</f>
        <v>5</v>
      </c>
      <c r="F284" s="23"/>
      <c r="G284" s="3" t="str">
        <f t="shared" si="9"/>
        <v/>
      </c>
      <c r="H284" s="14"/>
    </row>
    <row r="285" spans="1:8" x14ac:dyDescent="0.2">
      <c r="A285" t="s">
        <v>95</v>
      </c>
      <c r="B285" t="s">
        <v>135</v>
      </c>
      <c r="C285" s="14">
        <v>1996</v>
      </c>
      <c r="D285" t="str">
        <f t="shared" si="8"/>
        <v>yes</v>
      </c>
      <c r="E285">
        <f>COUNTIF($B$8:$B$1006,"Uganda")</f>
        <v>7</v>
      </c>
      <c r="F285" s="23"/>
      <c r="G285" s="3" t="str">
        <f t="shared" si="9"/>
        <v/>
      </c>
      <c r="H285" s="14"/>
    </row>
    <row r="286" spans="1:8" x14ac:dyDescent="0.2">
      <c r="A286" t="s">
        <v>95</v>
      </c>
      <c r="B286" t="s">
        <v>136</v>
      </c>
      <c r="C286" s="14">
        <v>1996</v>
      </c>
      <c r="D286" t="str">
        <f t="shared" si="8"/>
        <v>yes</v>
      </c>
      <c r="E286">
        <f>COUNTIF($B$8:$B$1006,"Zambia")</f>
        <v>7</v>
      </c>
      <c r="F286" s="23"/>
      <c r="G286" s="3" t="str">
        <f t="shared" si="9"/>
        <v/>
      </c>
      <c r="H286" s="14"/>
    </row>
    <row r="287" spans="1:8" x14ac:dyDescent="0.2">
      <c r="A287" t="s">
        <v>4</v>
      </c>
      <c r="B287" t="s">
        <v>7</v>
      </c>
      <c r="C287" s="14">
        <v>1997</v>
      </c>
      <c r="D287" t="str">
        <f t="shared" si="8"/>
        <v>yes</v>
      </c>
      <c r="E287">
        <f>COUNTIF($B$8:$B$1006,"China")</f>
        <v>17</v>
      </c>
      <c r="F287" s="23"/>
      <c r="G287" s="3" t="str">
        <f t="shared" si="9"/>
        <v/>
      </c>
      <c r="H287" s="14"/>
    </row>
    <row r="288" spans="1:8" x14ac:dyDescent="0.2">
      <c r="A288" t="s">
        <v>4</v>
      </c>
      <c r="B288" t="s">
        <v>11</v>
      </c>
      <c r="C288" s="14">
        <v>1997</v>
      </c>
      <c r="D288" t="str">
        <f t="shared" si="8"/>
        <v>yes</v>
      </c>
      <c r="E288">
        <f>COUNTIF($B$8:$B$1006,"Lao PDR")</f>
        <v>4</v>
      </c>
      <c r="F288" s="23"/>
      <c r="G288" s="3" t="str">
        <f t="shared" si="9"/>
        <v/>
      </c>
      <c r="H288" s="14"/>
    </row>
    <row r="289" spans="1:8" x14ac:dyDescent="0.2">
      <c r="A289" t="s">
        <v>4</v>
      </c>
      <c r="B289" t="s">
        <v>12</v>
      </c>
      <c r="C289" s="14">
        <v>1997</v>
      </c>
      <c r="D289" t="str">
        <f t="shared" si="8"/>
        <v>yes</v>
      </c>
      <c r="E289">
        <f>COUNTIF($B$8:$B$1006,"Malaysia")</f>
        <v>9</v>
      </c>
      <c r="F289" s="23"/>
      <c r="G289" s="3" t="str">
        <f t="shared" si="9"/>
        <v/>
      </c>
      <c r="H289" s="14"/>
    </row>
    <row r="290" spans="1:8" x14ac:dyDescent="0.2">
      <c r="A290" t="s">
        <v>4</v>
      </c>
      <c r="B290" t="s">
        <v>15</v>
      </c>
      <c r="C290" s="14">
        <v>1997</v>
      </c>
      <c r="D290" t="str">
        <f t="shared" si="8"/>
        <v>yes</v>
      </c>
      <c r="E290">
        <f>COUNTIF($B$8:$B$1006,"Philippines")</f>
        <v>9</v>
      </c>
      <c r="F290" s="23"/>
      <c r="G290" s="3" t="str">
        <f t="shared" si="9"/>
        <v/>
      </c>
      <c r="H290" s="14"/>
    </row>
    <row r="291" spans="1:8" x14ac:dyDescent="0.2">
      <c r="A291" t="s">
        <v>19</v>
      </c>
      <c r="B291" t="s">
        <v>20</v>
      </c>
      <c r="C291" s="14">
        <v>1997</v>
      </c>
      <c r="D291" t="str">
        <f t="shared" si="8"/>
        <v>yes</v>
      </c>
      <c r="E291">
        <f>COUNTIF($B$8:$B$1006,"Albania")</f>
        <v>5</v>
      </c>
      <c r="F291" s="23"/>
      <c r="G291" s="3">
        <f t="shared" si="9"/>
        <v>1</v>
      </c>
      <c r="H291" s="14" t="s">
        <v>20</v>
      </c>
    </row>
    <row r="292" spans="1:8" x14ac:dyDescent="0.2">
      <c r="A292" t="s">
        <v>19</v>
      </c>
      <c r="B292" t="s">
        <v>25</v>
      </c>
      <c r="C292" s="14">
        <v>1997</v>
      </c>
      <c r="D292" t="str">
        <f t="shared" si="8"/>
        <v>yes</v>
      </c>
      <c r="E292">
        <f>COUNTIF($B$8:$B$1006,"Bulgaria")</f>
        <v>8</v>
      </c>
      <c r="F292" s="23"/>
      <c r="G292" s="3" t="str">
        <f t="shared" si="9"/>
        <v/>
      </c>
      <c r="H292" s="14"/>
    </row>
    <row r="293" spans="1:8" x14ac:dyDescent="0.2">
      <c r="A293" t="s">
        <v>19</v>
      </c>
      <c r="B293" t="s">
        <v>29</v>
      </c>
      <c r="C293" s="14">
        <v>1997</v>
      </c>
      <c r="D293" t="str">
        <f t="shared" si="8"/>
        <v>yes</v>
      </c>
      <c r="E293">
        <f>COUNTIF($B$8:$B$1006,"Georgia")</f>
        <v>12</v>
      </c>
      <c r="F293" s="23"/>
      <c r="G293" s="3" t="str">
        <f t="shared" si="9"/>
        <v/>
      </c>
      <c r="H293" s="14"/>
    </row>
    <row r="294" spans="1:8" x14ac:dyDescent="0.2">
      <c r="A294" t="s">
        <v>19</v>
      </c>
      <c r="B294" t="s">
        <v>33</v>
      </c>
      <c r="C294" s="14">
        <v>1997</v>
      </c>
      <c r="D294" t="str">
        <f t="shared" si="8"/>
        <v>yes</v>
      </c>
      <c r="E294">
        <f>COUNTIF($B$8:$B$1006,"Latvia")</f>
        <v>11</v>
      </c>
      <c r="F294" s="23"/>
      <c r="G294" s="3" t="str">
        <f t="shared" si="9"/>
        <v/>
      </c>
      <c r="H294" s="14"/>
    </row>
    <row r="295" spans="1:8" x14ac:dyDescent="0.2">
      <c r="A295" t="s">
        <v>19</v>
      </c>
      <c r="B295" t="s">
        <v>36</v>
      </c>
      <c r="C295" s="14">
        <v>1997</v>
      </c>
      <c r="D295" t="str">
        <f t="shared" si="8"/>
        <v>yes</v>
      </c>
      <c r="E295">
        <f>COUNTIF($B$8:$B$1006,"Moldova")</f>
        <v>15</v>
      </c>
      <c r="F295" s="23"/>
      <c r="G295" s="3" t="str">
        <f t="shared" si="9"/>
        <v/>
      </c>
      <c r="H295" s="14"/>
    </row>
    <row r="296" spans="1:8" x14ac:dyDescent="0.2">
      <c r="A296" t="s">
        <v>49</v>
      </c>
      <c r="B296" t="s">
        <v>48</v>
      </c>
      <c r="C296" s="14">
        <v>1997</v>
      </c>
      <c r="D296" t="str">
        <f t="shared" si="8"/>
        <v>yes</v>
      </c>
      <c r="E296">
        <f>COUNTIF($B$8:$B$1006,"Argentina")</f>
        <v>22</v>
      </c>
      <c r="F296" s="23"/>
      <c r="G296" s="3" t="str">
        <f t="shared" si="9"/>
        <v/>
      </c>
      <c r="H296" s="14"/>
    </row>
    <row r="297" spans="1:8" x14ac:dyDescent="0.2">
      <c r="A297" t="s">
        <v>49</v>
      </c>
      <c r="B297" t="s">
        <v>50</v>
      </c>
      <c r="C297" s="14">
        <v>1997</v>
      </c>
      <c r="D297" t="str">
        <f t="shared" si="8"/>
        <v>yes</v>
      </c>
      <c r="E297">
        <f>COUNTIF($B$8:$B$1006,"Belize")</f>
        <v>7</v>
      </c>
      <c r="F297" s="23"/>
      <c r="G297" s="3" t="str">
        <f t="shared" si="9"/>
        <v/>
      </c>
      <c r="H297" s="14"/>
    </row>
    <row r="298" spans="1:8" x14ac:dyDescent="0.2">
      <c r="A298" t="s">
        <v>49</v>
      </c>
      <c r="B298" t="s">
        <v>51</v>
      </c>
      <c r="C298" s="14">
        <v>1997</v>
      </c>
      <c r="D298" t="str">
        <f t="shared" si="8"/>
        <v>yes</v>
      </c>
      <c r="E298">
        <f>COUNTIF($B$8:$B$1006,"Bolivia")</f>
        <v>11</v>
      </c>
      <c r="F298" s="23"/>
      <c r="G298" s="3" t="str">
        <f t="shared" si="9"/>
        <v/>
      </c>
      <c r="H298" s="14"/>
    </row>
    <row r="299" spans="1:8" x14ac:dyDescent="0.2">
      <c r="A299" t="s">
        <v>49</v>
      </c>
      <c r="B299" t="s">
        <v>52</v>
      </c>
      <c r="C299" s="14">
        <v>1997</v>
      </c>
      <c r="D299" t="str">
        <f t="shared" si="8"/>
        <v>yes</v>
      </c>
      <c r="E299">
        <f>COUNTIF($B$8:$B$1006,"Brazil")</f>
        <v>26</v>
      </c>
      <c r="F299" s="23"/>
      <c r="G299" s="3" t="str">
        <f t="shared" si="9"/>
        <v/>
      </c>
      <c r="H299" s="14"/>
    </row>
    <row r="300" spans="1:8" x14ac:dyDescent="0.2">
      <c r="A300" t="s">
        <v>49</v>
      </c>
      <c r="B300" t="s">
        <v>55</v>
      </c>
      <c r="C300" s="14">
        <v>1997</v>
      </c>
      <c r="D300" t="str">
        <f t="shared" si="8"/>
        <v>yes</v>
      </c>
      <c r="E300">
        <f>COUNTIF($B$8:$B$1006,"Costa Rica")</f>
        <v>23</v>
      </c>
      <c r="F300" s="23"/>
      <c r="G300" s="3" t="str">
        <f t="shared" si="9"/>
        <v/>
      </c>
      <c r="H300" s="14"/>
    </row>
    <row r="301" spans="1:8" x14ac:dyDescent="0.2">
      <c r="A301" t="s">
        <v>49</v>
      </c>
      <c r="B301" t="s">
        <v>56</v>
      </c>
      <c r="C301" s="14">
        <v>1997</v>
      </c>
      <c r="D301" t="str">
        <f t="shared" si="8"/>
        <v>yes</v>
      </c>
      <c r="E301">
        <f>COUNTIF($B$8:$B$1006,"Dominican Republic")</f>
        <v>16</v>
      </c>
      <c r="F301" s="23"/>
      <c r="G301" s="3" t="str">
        <f t="shared" si="9"/>
        <v/>
      </c>
      <c r="H301" s="14"/>
    </row>
    <row r="302" spans="1:8" x14ac:dyDescent="0.2">
      <c r="A302" t="s">
        <v>49</v>
      </c>
      <c r="B302" t="s">
        <v>62</v>
      </c>
      <c r="C302" s="14">
        <v>1997</v>
      </c>
      <c r="D302" t="str">
        <f t="shared" si="8"/>
        <v>yes</v>
      </c>
      <c r="E302">
        <f>COUNTIF($B$8:$B$1006,"Honduras")</f>
        <v>21</v>
      </c>
      <c r="F302" s="23"/>
      <c r="G302" s="3" t="str">
        <f t="shared" si="9"/>
        <v/>
      </c>
      <c r="H302" s="14"/>
    </row>
    <row r="303" spans="1:8" x14ac:dyDescent="0.2">
      <c r="A303" t="s">
        <v>49</v>
      </c>
      <c r="B303" t="s">
        <v>66</v>
      </c>
      <c r="C303" s="14">
        <v>1997</v>
      </c>
      <c r="D303" t="str">
        <f t="shared" si="8"/>
        <v>yes</v>
      </c>
      <c r="E303">
        <f>COUNTIF($B$8:$B$1006,"Panama")</f>
        <v>13</v>
      </c>
      <c r="F303" s="23"/>
      <c r="G303" s="3" t="str">
        <f t="shared" si="9"/>
        <v/>
      </c>
      <c r="H303" s="14"/>
    </row>
    <row r="304" spans="1:8" x14ac:dyDescent="0.2">
      <c r="A304" t="s">
        <v>49</v>
      </c>
      <c r="B304" t="s">
        <v>68</v>
      </c>
      <c r="C304" s="14">
        <v>1997</v>
      </c>
      <c r="D304" t="str">
        <f t="shared" si="8"/>
        <v>yes</v>
      </c>
      <c r="E304">
        <f>COUNTIF($B$8:$B$1006,"Peru")</f>
        <v>16</v>
      </c>
      <c r="F304" s="23"/>
      <c r="G304" s="3" t="str">
        <f t="shared" si="9"/>
        <v/>
      </c>
      <c r="H304" s="14"/>
    </row>
    <row r="305" spans="1:8" x14ac:dyDescent="0.2">
      <c r="A305" t="s">
        <v>49</v>
      </c>
      <c r="B305" t="s">
        <v>72</v>
      </c>
      <c r="C305" s="14">
        <v>1997</v>
      </c>
      <c r="D305" t="str">
        <f t="shared" si="8"/>
        <v>yes</v>
      </c>
      <c r="E305">
        <f>COUNTIF($B$8:$B$1006,"Uruguay")</f>
        <v>18</v>
      </c>
      <c r="F305" s="23"/>
      <c r="G305" s="3" t="str">
        <f t="shared" si="9"/>
        <v/>
      </c>
      <c r="H305" s="14"/>
    </row>
    <row r="306" spans="1:8" x14ac:dyDescent="0.2">
      <c r="A306" t="s">
        <v>74</v>
      </c>
      <c r="B306" t="s">
        <v>80</v>
      </c>
      <c r="C306" s="14">
        <v>1997</v>
      </c>
      <c r="D306" t="str">
        <f t="shared" si="8"/>
        <v>yes</v>
      </c>
      <c r="E306">
        <f>COUNTIF($B$8:$B$1006,"Jordan")</f>
        <v>7</v>
      </c>
      <c r="F306" s="23"/>
      <c r="G306" s="3" t="str">
        <f t="shared" si="9"/>
        <v/>
      </c>
      <c r="H306" s="14"/>
    </row>
    <row r="307" spans="1:8" x14ac:dyDescent="0.2">
      <c r="A307" t="s">
        <v>87</v>
      </c>
      <c r="B307" t="s">
        <v>92</v>
      </c>
      <c r="C307" s="14">
        <v>1997</v>
      </c>
      <c r="D307" t="str">
        <f t="shared" si="8"/>
        <v>yes</v>
      </c>
      <c r="E307">
        <f>COUNTIF($B$8:$B$1006,"Pakistan")</f>
        <v>8</v>
      </c>
      <c r="F307" s="23"/>
      <c r="G307" s="3" t="str">
        <f t="shared" si="9"/>
        <v/>
      </c>
      <c r="H307" s="14"/>
    </row>
    <row r="308" spans="1:8" x14ac:dyDescent="0.2">
      <c r="A308" t="s">
        <v>95</v>
      </c>
      <c r="B308" t="s">
        <v>114</v>
      </c>
      <c r="C308" s="14">
        <v>1997</v>
      </c>
      <c r="D308" t="str">
        <f t="shared" si="8"/>
        <v>yes</v>
      </c>
      <c r="E308">
        <f>COUNTIF($B$8:$B$1006,"Kenya")</f>
        <v>4</v>
      </c>
      <c r="F308" s="23"/>
      <c r="G308" s="3" t="str">
        <f t="shared" si="9"/>
        <v/>
      </c>
      <c r="H308" s="14"/>
    </row>
    <row r="309" spans="1:8" x14ac:dyDescent="0.2">
      <c r="A309" t="s">
        <v>95</v>
      </c>
      <c r="B309" t="s">
        <v>117</v>
      </c>
      <c r="C309" s="14">
        <v>1997</v>
      </c>
      <c r="D309" t="str">
        <f t="shared" si="8"/>
        <v>yes</v>
      </c>
      <c r="E309">
        <f>COUNTIF($B$8:$B$1006,"Madagascar")</f>
        <v>7</v>
      </c>
      <c r="F309" s="23"/>
      <c r="G309" s="3" t="str">
        <f t="shared" si="9"/>
        <v/>
      </c>
      <c r="H309" s="14"/>
    </row>
    <row r="310" spans="1:8" x14ac:dyDescent="0.2">
      <c r="A310" t="s">
        <v>4</v>
      </c>
      <c r="B310" t="s">
        <v>7</v>
      </c>
      <c r="C310" s="14">
        <v>1998</v>
      </c>
      <c r="D310" t="str">
        <f t="shared" si="8"/>
        <v>yes</v>
      </c>
      <c r="E310">
        <f>COUNTIF($B$8:$B$1006,"China")</f>
        <v>17</v>
      </c>
      <c r="F310" s="23"/>
      <c r="G310" s="3" t="str">
        <f t="shared" si="9"/>
        <v/>
      </c>
      <c r="H310" s="14"/>
    </row>
    <row r="311" spans="1:8" x14ac:dyDescent="0.2">
      <c r="A311" t="s">
        <v>4</v>
      </c>
      <c r="B311" t="s">
        <v>16</v>
      </c>
      <c r="C311" s="14">
        <v>1998</v>
      </c>
      <c r="D311" t="str">
        <f t="shared" si="8"/>
        <v>yes</v>
      </c>
      <c r="E311">
        <f>COUNTIF($B$8:$B$1006,"Thailand")</f>
        <v>13</v>
      </c>
      <c r="F311" s="23"/>
      <c r="G311" s="3" t="str">
        <f t="shared" si="9"/>
        <v/>
      </c>
      <c r="H311" s="14"/>
    </row>
    <row r="312" spans="1:8" x14ac:dyDescent="0.2">
      <c r="A312" t="s">
        <v>4</v>
      </c>
      <c r="B312" t="s">
        <v>18</v>
      </c>
      <c r="C312" s="14">
        <v>1998</v>
      </c>
      <c r="D312" t="str">
        <f t="shared" si="8"/>
        <v>yes</v>
      </c>
      <c r="E312">
        <f>COUNTIF($B$8:$B$1006,"Vietnam")</f>
        <v>6</v>
      </c>
      <c r="F312" s="23"/>
      <c r="G312" s="3" t="str">
        <f t="shared" si="9"/>
        <v/>
      </c>
      <c r="H312" s="14"/>
    </row>
    <row r="313" spans="1:8" x14ac:dyDescent="0.2">
      <c r="A313" t="s">
        <v>19</v>
      </c>
      <c r="B313" t="s">
        <v>23</v>
      </c>
      <c r="C313" s="14">
        <v>1998</v>
      </c>
      <c r="D313" t="str">
        <f t="shared" si="8"/>
        <v>yes</v>
      </c>
      <c r="E313">
        <f>COUNTIF($B$8:$B$1006,"Belarus")</f>
        <v>12</v>
      </c>
      <c r="F313" s="23"/>
      <c r="G313" s="3" t="str">
        <f t="shared" si="9"/>
        <v/>
      </c>
      <c r="H313" s="14"/>
    </row>
    <row r="314" spans="1:8" x14ac:dyDescent="0.2">
      <c r="A314" t="s">
        <v>19</v>
      </c>
      <c r="B314" t="s">
        <v>26</v>
      </c>
      <c r="C314" s="14">
        <v>1998</v>
      </c>
      <c r="D314" t="str">
        <f t="shared" si="8"/>
        <v>yes</v>
      </c>
      <c r="E314">
        <f>COUNTIF($B$8:$B$1006,"Croatia")</f>
        <v>7</v>
      </c>
      <c r="F314" s="23"/>
      <c r="G314" s="3" t="str">
        <f t="shared" si="9"/>
        <v/>
      </c>
      <c r="H314" s="14"/>
    </row>
    <row r="315" spans="1:8" x14ac:dyDescent="0.2">
      <c r="A315" t="s">
        <v>19</v>
      </c>
      <c r="B315" t="s">
        <v>28</v>
      </c>
      <c r="C315" s="14">
        <v>1998</v>
      </c>
      <c r="D315" t="str">
        <f t="shared" si="8"/>
        <v>yes</v>
      </c>
      <c r="E315">
        <f>COUNTIF($B$8:$B$1006,"Estonia")</f>
        <v>9</v>
      </c>
      <c r="F315" s="23"/>
      <c r="G315" s="3" t="str">
        <f t="shared" si="9"/>
        <v/>
      </c>
      <c r="H315" s="14"/>
    </row>
    <row r="316" spans="1:8" x14ac:dyDescent="0.2">
      <c r="A316" t="s">
        <v>19</v>
      </c>
      <c r="B316" t="s">
        <v>29</v>
      </c>
      <c r="C316" s="14">
        <v>1998</v>
      </c>
      <c r="D316" t="str">
        <f t="shared" si="8"/>
        <v>yes</v>
      </c>
      <c r="E316">
        <f>COUNTIF($B$8:$B$1006,"Georgia")</f>
        <v>12</v>
      </c>
      <c r="F316" s="23"/>
      <c r="G316" s="3" t="str">
        <f t="shared" si="9"/>
        <v/>
      </c>
      <c r="H316" s="14"/>
    </row>
    <row r="317" spans="1:8" x14ac:dyDescent="0.2">
      <c r="A317" t="s">
        <v>19</v>
      </c>
      <c r="B317" t="s">
        <v>30</v>
      </c>
      <c r="C317" s="14">
        <v>1998</v>
      </c>
      <c r="D317" t="str">
        <f t="shared" si="8"/>
        <v>yes</v>
      </c>
      <c r="E317">
        <f>COUNTIF($B$8:$B$1006,"Hungary")</f>
        <v>10</v>
      </c>
      <c r="F317" s="23"/>
      <c r="G317" s="3" t="str">
        <f t="shared" si="9"/>
        <v/>
      </c>
      <c r="H317" s="14"/>
    </row>
    <row r="318" spans="1:8" x14ac:dyDescent="0.2">
      <c r="A318" t="s">
        <v>19</v>
      </c>
      <c r="B318" t="s">
        <v>32</v>
      </c>
      <c r="C318" s="14">
        <v>1998</v>
      </c>
      <c r="D318" t="str">
        <f t="shared" si="8"/>
        <v>yes</v>
      </c>
      <c r="E318">
        <f>COUNTIF($B$8:$B$1006,"Kyrgyz Republic")</f>
        <v>10</v>
      </c>
      <c r="F318" s="23"/>
      <c r="G318" s="3" t="str">
        <f t="shared" si="9"/>
        <v/>
      </c>
      <c r="H318" s="14"/>
    </row>
    <row r="319" spans="1:8" x14ac:dyDescent="0.2">
      <c r="A319" t="s">
        <v>19</v>
      </c>
      <c r="B319" t="s">
        <v>33</v>
      </c>
      <c r="C319" s="14">
        <v>1998</v>
      </c>
      <c r="D319" t="str">
        <f t="shared" si="8"/>
        <v>yes</v>
      </c>
      <c r="E319">
        <f>COUNTIF($B$8:$B$1006,"Latvia")</f>
        <v>11</v>
      </c>
      <c r="F319" s="23"/>
      <c r="G319" s="3" t="str">
        <f t="shared" si="9"/>
        <v/>
      </c>
      <c r="H319" s="14"/>
    </row>
    <row r="320" spans="1:8" x14ac:dyDescent="0.2">
      <c r="A320" t="s">
        <v>19</v>
      </c>
      <c r="B320" t="s">
        <v>34</v>
      </c>
      <c r="C320" s="14">
        <v>1998</v>
      </c>
      <c r="D320" t="str">
        <f t="shared" si="8"/>
        <v>yes</v>
      </c>
      <c r="E320">
        <f>COUNTIF($B$8:$B$1006,"Lithuania")</f>
        <v>9</v>
      </c>
      <c r="F320" s="23"/>
      <c r="G320" s="3" t="str">
        <f t="shared" si="9"/>
        <v/>
      </c>
      <c r="H320" s="14"/>
    </row>
    <row r="321" spans="1:8" x14ac:dyDescent="0.2">
      <c r="A321" t="s">
        <v>19</v>
      </c>
      <c r="B321" t="s">
        <v>35</v>
      </c>
      <c r="C321" s="14">
        <v>1998</v>
      </c>
      <c r="D321" t="str">
        <f t="shared" si="8"/>
        <v>yes</v>
      </c>
      <c r="E321">
        <f>COUNTIF($B$8:$B$1006,"Macedonia")</f>
        <v>9</v>
      </c>
      <c r="F321" s="23"/>
      <c r="G321" s="3">
        <f t="shared" si="9"/>
        <v>1</v>
      </c>
      <c r="H321" s="14" t="s">
        <v>35</v>
      </c>
    </row>
    <row r="322" spans="1:8" x14ac:dyDescent="0.2">
      <c r="A322" t="s">
        <v>19</v>
      </c>
      <c r="B322" t="s">
        <v>36</v>
      </c>
      <c r="C322" s="14">
        <v>1998</v>
      </c>
      <c r="D322" t="str">
        <f t="shared" si="8"/>
        <v>yes</v>
      </c>
      <c r="E322">
        <f>COUNTIF($B$8:$B$1006,"Moldova")</f>
        <v>15</v>
      </c>
      <c r="F322" s="23"/>
      <c r="G322" s="3" t="str">
        <f t="shared" si="9"/>
        <v/>
      </c>
      <c r="H322" s="14"/>
    </row>
    <row r="323" spans="1:8" x14ac:dyDescent="0.2">
      <c r="A323" t="s">
        <v>19</v>
      </c>
      <c r="B323" t="s">
        <v>38</v>
      </c>
      <c r="C323" s="14">
        <v>1998</v>
      </c>
      <c r="D323" t="str">
        <f t="shared" si="8"/>
        <v>yes</v>
      </c>
      <c r="E323">
        <f>COUNTIF($B$8:$B$1006,"Poland")</f>
        <v>17</v>
      </c>
      <c r="F323" s="23"/>
      <c r="G323" s="3" t="str">
        <f t="shared" si="9"/>
        <v/>
      </c>
      <c r="H323" s="14"/>
    </row>
    <row r="324" spans="1:8" x14ac:dyDescent="0.2">
      <c r="A324" t="s">
        <v>19</v>
      </c>
      <c r="B324" t="s">
        <v>39</v>
      </c>
      <c r="C324" s="14">
        <v>1998</v>
      </c>
      <c r="D324" t="str">
        <f t="shared" si="8"/>
        <v>yes</v>
      </c>
      <c r="E324">
        <f>COUNTIF($B$8:$B$1006,"Romania")</f>
        <v>14</v>
      </c>
      <c r="F324" s="23"/>
      <c r="G324" s="3" t="str">
        <f t="shared" si="9"/>
        <v/>
      </c>
      <c r="H324" s="14"/>
    </row>
    <row r="325" spans="1:8" x14ac:dyDescent="0.2">
      <c r="A325" t="s">
        <v>19</v>
      </c>
      <c r="B325" t="s">
        <v>44</v>
      </c>
      <c r="C325" s="14">
        <v>1998</v>
      </c>
      <c r="D325" t="str">
        <f t="shared" si="8"/>
        <v>yes</v>
      </c>
      <c r="E325">
        <f>COUNTIF($B$8:$B$1006,"Slovenia")</f>
        <v>6</v>
      </c>
      <c r="F325" s="23"/>
      <c r="G325" s="3" t="str">
        <f t="shared" si="9"/>
        <v/>
      </c>
      <c r="H325" s="14"/>
    </row>
    <row r="326" spans="1:8" x14ac:dyDescent="0.2">
      <c r="A326" t="s">
        <v>19</v>
      </c>
      <c r="B326" t="s">
        <v>46</v>
      </c>
      <c r="C326" s="14">
        <v>1998</v>
      </c>
      <c r="D326" t="str">
        <f t="shared" si="8"/>
        <v>yes</v>
      </c>
      <c r="E326">
        <f>COUNTIF($B$8:$B$1006,"Turkmenistan")</f>
        <v>3</v>
      </c>
      <c r="F326" s="23"/>
      <c r="G326" s="3" t="str">
        <f t="shared" si="9"/>
        <v/>
      </c>
      <c r="H326" s="14"/>
    </row>
    <row r="327" spans="1:8" x14ac:dyDescent="0.2">
      <c r="A327" t="s">
        <v>49</v>
      </c>
      <c r="B327" t="s">
        <v>48</v>
      </c>
      <c r="C327" s="14">
        <v>1998</v>
      </c>
      <c r="D327" t="str">
        <f t="shared" si="8"/>
        <v>yes</v>
      </c>
      <c r="E327">
        <f>COUNTIF($B$8:$B$1006,"Argentina")</f>
        <v>22</v>
      </c>
      <c r="F327" s="23"/>
      <c r="G327" s="3" t="str">
        <f t="shared" si="9"/>
        <v/>
      </c>
      <c r="H327" s="14"/>
    </row>
    <row r="328" spans="1:8" x14ac:dyDescent="0.2">
      <c r="A328" t="s">
        <v>49</v>
      </c>
      <c r="B328" t="s">
        <v>50</v>
      </c>
      <c r="C328" s="14">
        <v>1998</v>
      </c>
      <c r="D328" t="str">
        <f t="shared" ref="D328:D391" si="10">IF(F328="LSMS","no","yes")</f>
        <v>yes</v>
      </c>
      <c r="E328">
        <f>COUNTIF($B$8:$B$1006,"Belize")</f>
        <v>7</v>
      </c>
      <c r="F328" s="23"/>
      <c r="G328" s="3" t="str">
        <f t="shared" ref="G328:G391" si="11">IF(H328="","",1)</f>
        <v/>
      </c>
      <c r="H328" s="14"/>
    </row>
    <row r="329" spans="1:8" x14ac:dyDescent="0.2">
      <c r="A329" t="s">
        <v>49</v>
      </c>
      <c r="B329" t="s">
        <v>52</v>
      </c>
      <c r="C329" s="14">
        <v>1998</v>
      </c>
      <c r="D329" t="str">
        <f t="shared" si="10"/>
        <v>yes</v>
      </c>
      <c r="E329">
        <f>COUNTIF($B$8:$B$1006,"Brazil")</f>
        <v>26</v>
      </c>
      <c r="F329" s="23"/>
      <c r="G329" s="3" t="str">
        <f t="shared" si="11"/>
        <v/>
      </c>
      <c r="H329" s="14"/>
    </row>
    <row r="330" spans="1:8" x14ac:dyDescent="0.2">
      <c r="A330" t="s">
        <v>49</v>
      </c>
      <c r="B330" t="s">
        <v>53</v>
      </c>
      <c r="C330" s="14">
        <v>1998</v>
      </c>
      <c r="D330" t="str">
        <f t="shared" si="10"/>
        <v>yes</v>
      </c>
      <c r="E330">
        <f>COUNTIF($B$8:$B$1006,"Chile")</f>
        <v>10</v>
      </c>
      <c r="F330" s="23"/>
      <c r="G330" s="3" t="str">
        <f t="shared" si="11"/>
        <v/>
      </c>
      <c r="H330" s="14"/>
    </row>
    <row r="331" spans="1:8" x14ac:dyDescent="0.2">
      <c r="A331" t="s">
        <v>49</v>
      </c>
      <c r="B331" t="s">
        <v>55</v>
      </c>
      <c r="C331" s="14">
        <v>1998</v>
      </c>
      <c r="D331" t="str">
        <f t="shared" si="10"/>
        <v>yes</v>
      </c>
      <c r="E331">
        <f>COUNTIF($B$8:$B$1006,"Costa Rica")</f>
        <v>23</v>
      </c>
      <c r="F331" s="23"/>
      <c r="G331" s="3" t="str">
        <f t="shared" si="11"/>
        <v/>
      </c>
      <c r="H331" s="14"/>
    </row>
    <row r="332" spans="1:8" x14ac:dyDescent="0.2">
      <c r="A332" t="s">
        <v>49</v>
      </c>
      <c r="B332" t="s">
        <v>57</v>
      </c>
      <c r="C332" s="14">
        <v>1998</v>
      </c>
      <c r="D332" t="str">
        <f t="shared" si="10"/>
        <v>yes</v>
      </c>
      <c r="E332">
        <f>COUNTIF($B$8:$B$1006,"Ecuador")</f>
        <v>13</v>
      </c>
      <c r="F332" s="23"/>
      <c r="G332" s="3" t="str">
        <f t="shared" si="11"/>
        <v/>
      </c>
      <c r="H332" s="14"/>
    </row>
    <row r="333" spans="1:8" x14ac:dyDescent="0.2">
      <c r="A333" t="s">
        <v>49</v>
      </c>
      <c r="B333" t="s">
        <v>58</v>
      </c>
      <c r="C333" s="14">
        <v>1998</v>
      </c>
      <c r="D333" t="str">
        <f t="shared" si="10"/>
        <v>yes</v>
      </c>
      <c r="E333">
        <f>COUNTIF($B$8:$B$1006,"El Salvador")</f>
        <v>15</v>
      </c>
      <c r="F333" s="23"/>
      <c r="G333" s="3" t="str">
        <f t="shared" si="11"/>
        <v/>
      </c>
      <c r="H333" s="14"/>
    </row>
    <row r="334" spans="1:8" x14ac:dyDescent="0.2">
      <c r="A334" t="s">
        <v>49</v>
      </c>
      <c r="B334" t="s">
        <v>59</v>
      </c>
      <c r="C334" s="14">
        <v>1998</v>
      </c>
      <c r="D334" t="str">
        <f t="shared" si="10"/>
        <v>yes</v>
      </c>
      <c r="E334">
        <f>COUNTIF($B$8:$B$1006,"Guatemala")</f>
        <v>8</v>
      </c>
      <c r="F334" s="23"/>
      <c r="G334" s="3" t="str">
        <f t="shared" si="11"/>
        <v/>
      </c>
      <c r="H334" s="14"/>
    </row>
    <row r="335" spans="1:8" x14ac:dyDescent="0.2">
      <c r="A335" t="s">
        <v>49</v>
      </c>
      <c r="B335" t="s">
        <v>60</v>
      </c>
      <c r="C335" s="14">
        <v>1998</v>
      </c>
      <c r="D335" t="str">
        <f t="shared" si="10"/>
        <v>yes</v>
      </c>
      <c r="E335">
        <f>COUNTIF($B$8:$B$1006,"Guyana")</f>
        <v>2</v>
      </c>
      <c r="F335" s="23"/>
      <c r="G335" s="3" t="str">
        <f t="shared" si="11"/>
        <v/>
      </c>
      <c r="H335" s="14"/>
    </row>
    <row r="336" spans="1:8" x14ac:dyDescent="0.2">
      <c r="A336" t="s">
        <v>49</v>
      </c>
      <c r="B336" t="s">
        <v>62</v>
      </c>
      <c r="C336" s="14">
        <v>1998</v>
      </c>
      <c r="D336" t="str">
        <f t="shared" si="10"/>
        <v>yes</v>
      </c>
      <c r="E336">
        <f>COUNTIF($B$8:$B$1006,"Honduras")</f>
        <v>21</v>
      </c>
      <c r="F336" s="23"/>
      <c r="G336" s="3" t="str">
        <f t="shared" si="11"/>
        <v/>
      </c>
      <c r="H336" s="14"/>
    </row>
    <row r="337" spans="1:8" x14ac:dyDescent="0.2">
      <c r="A337" t="s">
        <v>49</v>
      </c>
      <c r="B337" t="s">
        <v>64</v>
      </c>
      <c r="C337" s="14">
        <v>1998</v>
      </c>
      <c r="D337" t="str">
        <f t="shared" si="10"/>
        <v>yes</v>
      </c>
      <c r="E337">
        <f>COUNTIF($B$8:$B$1006,"Mexico")</f>
        <v>13</v>
      </c>
      <c r="F337" s="23"/>
      <c r="G337" s="3" t="str">
        <f t="shared" si="11"/>
        <v/>
      </c>
      <c r="H337" s="14"/>
    </row>
    <row r="338" spans="1:8" x14ac:dyDescent="0.2">
      <c r="A338" t="s">
        <v>49</v>
      </c>
      <c r="B338" t="s">
        <v>65</v>
      </c>
      <c r="C338" s="14">
        <v>1998</v>
      </c>
      <c r="D338" t="str">
        <f t="shared" si="10"/>
        <v>yes</v>
      </c>
      <c r="E338">
        <f>COUNTIF($B$8:$B$1006,"Nicaragua")</f>
        <v>4</v>
      </c>
      <c r="F338" s="23"/>
      <c r="G338" s="3" t="str">
        <f t="shared" si="11"/>
        <v/>
      </c>
      <c r="H338" s="14"/>
    </row>
    <row r="339" spans="1:8" x14ac:dyDescent="0.2">
      <c r="A339" t="s">
        <v>49</v>
      </c>
      <c r="B339" t="s">
        <v>66</v>
      </c>
      <c r="C339" s="14">
        <v>1998</v>
      </c>
      <c r="D339" t="str">
        <f t="shared" si="10"/>
        <v>yes</v>
      </c>
      <c r="E339">
        <f>COUNTIF($B$8:$B$1006,"Panama")</f>
        <v>13</v>
      </c>
      <c r="F339" s="23"/>
      <c r="G339" s="3" t="str">
        <f t="shared" si="11"/>
        <v/>
      </c>
      <c r="H339" s="14"/>
    </row>
    <row r="340" spans="1:8" x14ac:dyDescent="0.2">
      <c r="A340" t="s">
        <v>49</v>
      </c>
      <c r="B340" t="s">
        <v>67</v>
      </c>
      <c r="C340" s="14">
        <v>1998</v>
      </c>
      <c r="D340" t="str">
        <f t="shared" si="10"/>
        <v>yes</v>
      </c>
      <c r="E340">
        <f>COUNTIF($B$8:$B$1006,"Paraguay")</f>
        <v>14</v>
      </c>
      <c r="F340" s="23"/>
      <c r="G340" s="3" t="str">
        <f t="shared" si="11"/>
        <v/>
      </c>
      <c r="H340" s="14"/>
    </row>
    <row r="341" spans="1:8" x14ac:dyDescent="0.2">
      <c r="A341" t="s">
        <v>49</v>
      </c>
      <c r="B341" t="s">
        <v>68</v>
      </c>
      <c r="C341" s="14">
        <v>1998</v>
      </c>
      <c r="D341" t="str">
        <f t="shared" si="10"/>
        <v>yes</v>
      </c>
      <c r="E341">
        <f>COUNTIF($B$8:$B$1006,"Peru")</f>
        <v>16</v>
      </c>
      <c r="F341" s="23"/>
      <c r="G341" s="3" t="str">
        <f t="shared" si="11"/>
        <v/>
      </c>
      <c r="H341" s="14"/>
    </row>
    <row r="342" spans="1:8" x14ac:dyDescent="0.2">
      <c r="A342" t="s">
        <v>49</v>
      </c>
      <c r="B342" t="s">
        <v>72</v>
      </c>
      <c r="C342" s="14">
        <v>1998</v>
      </c>
      <c r="D342" t="str">
        <f t="shared" si="10"/>
        <v>yes</v>
      </c>
      <c r="E342">
        <f>COUNTIF($B$8:$B$1006,"Uruguay")</f>
        <v>18</v>
      </c>
      <c r="F342" s="23"/>
      <c r="G342" s="3" t="str">
        <f t="shared" si="11"/>
        <v/>
      </c>
      <c r="H342" s="14"/>
    </row>
    <row r="343" spans="1:8" x14ac:dyDescent="0.2">
      <c r="A343" t="s">
        <v>49</v>
      </c>
      <c r="B343" t="s">
        <v>73</v>
      </c>
      <c r="C343" s="14">
        <v>1998</v>
      </c>
      <c r="D343" t="str">
        <f t="shared" si="10"/>
        <v>yes</v>
      </c>
      <c r="E343">
        <f>COUNTIF($B$8:$B$1006,"Venezuela")</f>
        <v>13</v>
      </c>
      <c r="F343" s="23"/>
      <c r="G343" s="3" t="str">
        <f t="shared" si="11"/>
        <v/>
      </c>
      <c r="H343" s="14"/>
    </row>
    <row r="344" spans="1:8" x14ac:dyDescent="0.2">
      <c r="A344" t="s">
        <v>74</v>
      </c>
      <c r="B344" t="s">
        <v>78</v>
      </c>
      <c r="C344" s="14">
        <v>1998</v>
      </c>
      <c r="D344" t="str">
        <f t="shared" si="10"/>
        <v>yes</v>
      </c>
      <c r="E344">
        <f>COUNTIF($B$8:$B$1006,"Iran")</f>
        <v>5</v>
      </c>
      <c r="F344" s="23"/>
      <c r="G344" s="3" t="str">
        <f t="shared" si="11"/>
        <v/>
      </c>
      <c r="H344" s="14"/>
    </row>
    <row r="345" spans="1:8" x14ac:dyDescent="0.2">
      <c r="A345" t="s">
        <v>74</v>
      </c>
      <c r="B345" t="s">
        <v>85</v>
      </c>
      <c r="C345" s="14">
        <v>1998</v>
      </c>
      <c r="D345" t="str">
        <f t="shared" si="10"/>
        <v>yes</v>
      </c>
      <c r="E345">
        <f>COUNTIF($B$8:$B$1006,"Yemen")</f>
        <v>2</v>
      </c>
      <c r="F345" s="23"/>
      <c r="G345" s="3">
        <f t="shared" si="11"/>
        <v>1</v>
      </c>
      <c r="H345" s="14" t="s">
        <v>85</v>
      </c>
    </row>
    <row r="346" spans="1:8" x14ac:dyDescent="0.2">
      <c r="A346" t="s">
        <v>87</v>
      </c>
      <c r="B346" t="s">
        <v>90</v>
      </c>
      <c r="C346" s="14">
        <v>1998</v>
      </c>
      <c r="D346" t="str">
        <f t="shared" si="10"/>
        <v>yes</v>
      </c>
      <c r="E346">
        <f>COUNTIF($B$8:$B$1006,"Maldives")</f>
        <v>2</v>
      </c>
      <c r="F346" s="23"/>
      <c r="G346" s="3">
        <f t="shared" si="11"/>
        <v>1</v>
      </c>
      <c r="H346" s="14" t="s">
        <v>90</v>
      </c>
    </row>
    <row r="347" spans="1:8" x14ac:dyDescent="0.2">
      <c r="A347" t="s">
        <v>95</v>
      </c>
      <c r="B347" t="s">
        <v>98</v>
      </c>
      <c r="C347" s="14">
        <v>1998</v>
      </c>
      <c r="D347" t="str">
        <f t="shared" si="10"/>
        <v>yes</v>
      </c>
      <c r="E347">
        <f>COUNTIF($B$8:$B$1006,"Burkina Faso")</f>
        <v>4</v>
      </c>
      <c r="F347" s="23"/>
      <c r="G347" s="3" t="str">
        <f t="shared" si="11"/>
        <v/>
      </c>
      <c r="H347" s="14"/>
    </row>
    <row r="348" spans="1:8" x14ac:dyDescent="0.2">
      <c r="A348" t="s">
        <v>95</v>
      </c>
      <c r="B348" t="s">
        <v>99</v>
      </c>
      <c r="C348" s="14">
        <v>1998</v>
      </c>
      <c r="D348" t="str">
        <f t="shared" si="10"/>
        <v>yes</v>
      </c>
      <c r="E348">
        <f>COUNTIF($B$8:$B$1006,"Burundi")</f>
        <v>3</v>
      </c>
      <c r="F348" s="23"/>
      <c r="G348" s="3" t="str">
        <f t="shared" si="11"/>
        <v/>
      </c>
      <c r="H348" s="14"/>
    </row>
    <row r="349" spans="1:8" x14ac:dyDescent="0.2">
      <c r="A349" t="s">
        <v>95</v>
      </c>
      <c r="B349" t="s">
        <v>107</v>
      </c>
      <c r="C349" s="14">
        <v>1998</v>
      </c>
      <c r="D349" t="str">
        <f t="shared" si="10"/>
        <v>yes</v>
      </c>
      <c r="E349">
        <f>COUNTIF($B$8:$B$1006,"Cote D'Ivoire")</f>
        <v>9</v>
      </c>
      <c r="F349" s="23"/>
      <c r="G349" s="3" t="str">
        <f t="shared" si="11"/>
        <v/>
      </c>
      <c r="H349" s="14"/>
    </row>
    <row r="350" spans="1:8" x14ac:dyDescent="0.2">
      <c r="A350" t="s">
        <v>95</v>
      </c>
      <c r="B350" t="s">
        <v>110</v>
      </c>
      <c r="C350" s="14">
        <v>1998</v>
      </c>
      <c r="D350" t="str">
        <f t="shared" si="10"/>
        <v>yes</v>
      </c>
      <c r="E350">
        <f>COUNTIF($B$8:$B$1006,"Gambia")</f>
        <v>2</v>
      </c>
      <c r="F350" s="23"/>
      <c r="G350" s="3">
        <f t="shared" si="11"/>
        <v>1</v>
      </c>
      <c r="H350" s="14" t="s">
        <v>110</v>
      </c>
    </row>
    <row r="351" spans="1:8" x14ac:dyDescent="0.2">
      <c r="A351" t="s">
        <v>95</v>
      </c>
      <c r="B351" t="s">
        <v>111</v>
      </c>
      <c r="C351" s="14">
        <v>1998</v>
      </c>
      <c r="D351" t="str">
        <f t="shared" si="10"/>
        <v>yes</v>
      </c>
      <c r="E351">
        <f>COUNTIF($B$8:$B$1006,"Ghana")</f>
        <v>5</v>
      </c>
      <c r="F351" s="23"/>
      <c r="G351" s="3" t="str">
        <f t="shared" si="11"/>
        <v/>
      </c>
      <c r="H351" s="14"/>
    </row>
    <row r="352" spans="1:8" x14ac:dyDescent="0.2">
      <c r="A352" t="s">
        <v>95</v>
      </c>
      <c r="B352" t="s">
        <v>118</v>
      </c>
      <c r="C352" s="14">
        <v>1998</v>
      </c>
      <c r="D352" t="str">
        <f t="shared" si="10"/>
        <v>yes</v>
      </c>
      <c r="E352">
        <f>COUNTIF($B$8:$B$1006,"Malawi")</f>
        <v>2</v>
      </c>
      <c r="F352" s="23"/>
      <c r="G352" s="3">
        <f t="shared" si="11"/>
        <v>1</v>
      </c>
      <c r="H352" s="14" t="s">
        <v>118</v>
      </c>
    </row>
    <row r="353" spans="1:8" x14ac:dyDescent="0.2">
      <c r="A353" t="s">
        <v>95</v>
      </c>
      <c r="B353" t="s">
        <v>136</v>
      </c>
      <c r="C353" s="14">
        <v>1998</v>
      </c>
      <c r="D353" t="str">
        <f t="shared" si="10"/>
        <v>yes</v>
      </c>
      <c r="E353">
        <f>COUNTIF($B$8:$B$1006,"Zambia")</f>
        <v>7</v>
      </c>
      <c r="F353" s="23"/>
      <c r="G353" s="3" t="str">
        <f t="shared" si="11"/>
        <v/>
      </c>
      <c r="H353" s="14"/>
    </row>
    <row r="354" spans="1:8" x14ac:dyDescent="0.2">
      <c r="A354" t="s">
        <v>4</v>
      </c>
      <c r="B354" t="s">
        <v>7</v>
      </c>
      <c r="C354" s="14">
        <v>1999</v>
      </c>
      <c r="D354" t="str">
        <f t="shared" si="10"/>
        <v>yes</v>
      </c>
      <c r="E354">
        <f>COUNTIF($B$8:$B$1006,"China")</f>
        <v>17</v>
      </c>
      <c r="F354" s="23"/>
      <c r="G354" s="3" t="str">
        <f t="shared" si="11"/>
        <v/>
      </c>
      <c r="H354" s="14"/>
    </row>
    <row r="355" spans="1:8" x14ac:dyDescent="0.2">
      <c r="A355" t="s">
        <v>4</v>
      </c>
      <c r="B355" t="s">
        <v>10</v>
      </c>
      <c r="C355" s="14">
        <v>1999</v>
      </c>
      <c r="D355" t="str">
        <f t="shared" si="10"/>
        <v>yes</v>
      </c>
      <c r="E355">
        <f>COUNTIF($B$8:$B$1006,"Indonesia")</f>
        <v>14</v>
      </c>
      <c r="F355" s="23"/>
      <c r="G355" s="3" t="str">
        <f t="shared" si="11"/>
        <v/>
      </c>
      <c r="H355" s="14"/>
    </row>
    <row r="356" spans="1:8" x14ac:dyDescent="0.2">
      <c r="A356" t="s">
        <v>4</v>
      </c>
      <c r="B356" t="s">
        <v>16</v>
      </c>
      <c r="C356" s="14">
        <v>1999</v>
      </c>
      <c r="D356" t="str">
        <f t="shared" si="10"/>
        <v>yes</v>
      </c>
      <c r="E356">
        <f>COUNTIF($B$8:$B$1006,"Thailand")</f>
        <v>13</v>
      </c>
      <c r="F356" s="23"/>
      <c r="G356" s="3" t="str">
        <f t="shared" si="11"/>
        <v/>
      </c>
      <c r="H356" s="14"/>
    </row>
    <row r="357" spans="1:8" x14ac:dyDescent="0.2">
      <c r="A357" t="s">
        <v>19</v>
      </c>
      <c r="B357" t="s">
        <v>21</v>
      </c>
      <c r="C357" s="14">
        <v>1999</v>
      </c>
      <c r="D357" t="str">
        <f t="shared" si="10"/>
        <v>yes</v>
      </c>
      <c r="E357">
        <f>COUNTIF($B$8:$B$1006,"Armenia")</f>
        <v>10</v>
      </c>
      <c r="F357" s="23"/>
      <c r="G357" s="3" t="str">
        <f t="shared" si="11"/>
        <v/>
      </c>
      <c r="H357" s="14"/>
    </row>
    <row r="358" spans="1:8" x14ac:dyDescent="0.2">
      <c r="A358" t="s">
        <v>19</v>
      </c>
      <c r="B358" t="s">
        <v>26</v>
      </c>
      <c r="C358" s="14">
        <v>1999</v>
      </c>
      <c r="D358" t="str">
        <f t="shared" si="10"/>
        <v>yes</v>
      </c>
      <c r="E358">
        <f>COUNTIF($B$8:$B$1006,"Croatia")</f>
        <v>7</v>
      </c>
      <c r="F358" s="23"/>
      <c r="G358" s="3" t="str">
        <f t="shared" si="11"/>
        <v/>
      </c>
      <c r="H358" s="14"/>
    </row>
    <row r="359" spans="1:8" x14ac:dyDescent="0.2">
      <c r="A359" t="s">
        <v>19</v>
      </c>
      <c r="B359" t="s">
        <v>29</v>
      </c>
      <c r="C359" s="14">
        <v>1999</v>
      </c>
      <c r="D359" t="str">
        <f t="shared" si="10"/>
        <v>yes</v>
      </c>
      <c r="E359">
        <f>COUNTIF($B$8:$B$1006,"Georgia")</f>
        <v>12</v>
      </c>
      <c r="F359" s="23"/>
      <c r="G359" s="3" t="str">
        <f t="shared" si="11"/>
        <v/>
      </c>
      <c r="H359" s="14"/>
    </row>
    <row r="360" spans="1:8" x14ac:dyDescent="0.2">
      <c r="A360" t="s">
        <v>19</v>
      </c>
      <c r="B360" t="s">
        <v>30</v>
      </c>
      <c r="C360" s="14">
        <v>1999</v>
      </c>
      <c r="D360" t="str">
        <f t="shared" si="10"/>
        <v>yes</v>
      </c>
      <c r="E360">
        <f>COUNTIF($B$8:$B$1006,"Hungary")</f>
        <v>10</v>
      </c>
      <c r="F360" s="23"/>
      <c r="G360" s="3" t="str">
        <f t="shared" si="11"/>
        <v/>
      </c>
      <c r="H360" s="14"/>
    </row>
    <row r="361" spans="1:8" x14ac:dyDescent="0.2">
      <c r="A361" t="s">
        <v>19</v>
      </c>
      <c r="B361" t="s">
        <v>36</v>
      </c>
      <c r="C361" s="14">
        <v>1999</v>
      </c>
      <c r="D361" t="str">
        <f t="shared" si="10"/>
        <v>yes</v>
      </c>
      <c r="E361">
        <f>COUNTIF($B$8:$B$1006,"Moldova")</f>
        <v>15</v>
      </c>
      <c r="F361" s="23"/>
      <c r="G361" s="3" t="str">
        <f t="shared" si="11"/>
        <v/>
      </c>
      <c r="H361" s="14"/>
    </row>
    <row r="362" spans="1:8" x14ac:dyDescent="0.2">
      <c r="A362" t="s">
        <v>19</v>
      </c>
      <c r="B362" t="s">
        <v>38</v>
      </c>
      <c r="C362" s="14">
        <v>1999</v>
      </c>
      <c r="D362" t="str">
        <f t="shared" si="10"/>
        <v>yes</v>
      </c>
      <c r="E362">
        <f>COUNTIF($B$8:$B$1006,"Poland")</f>
        <v>17</v>
      </c>
      <c r="F362" s="23"/>
      <c r="G362" s="3" t="str">
        <f t="shared" si="11"/>
        <v/>
      </c>
      <c r="H362" s="14"/>
    </row>
    <row r="363" spans="1:8" x14ac:dyDescent="0.2">
      <c r="A363" t="s">
        <v>19</v>
      </c>
      <c r="B363" t="s">
        <v>40</v>
      </c>
      <c r="C363" s="14">
        <v>1999</v>
      </c>
      <c r="D363" t="str">
        <f t="shared" si="10"/>
        <v>yes</v>
      </c>
      <c r="E363">
        <f>COUNTIF($B$8:$B$1006,"Russian Federation")</f>
        <v>13</v>
      </c>
      <c r="F363" s="23"/>
      <c r="G363" s="3" t="str">
        <f t="shared" si="11"/>
        <v/>
      </c>
      <c r="H363" s="14"/>
    </row>
    <row r="364" spans="1:8" x14ac:dyDescent="0.2">
      <c r="A364" t="s">
        <v>19</v>
      </c>
      <c r="B364" t="s">
        <v>43</v>
      </c>
      <c r="C364" s="14">
        <v>1999</v>
      </c>
      <c r="D364" t="str">
        <f t="shared" si="10"/>
        <v>yes</v>
      </c>
      <c r="E364">
        <f>COUNTIF($B$8:$B$1006,"Tajikistan")</f>
        <v>5</v>
      </c>
      <c r="F364" s="23"/>
      <c r="G364" s="3">
        <f t="shared" si="11"/>
        <v>1</v>
      </c>
      <c r="H364" s="14" t="s">
        <v>43</v>
      </c>
    </row>
    <row r="365" spans="1:8" x14ac:dyDescent="0.2">
      <c r="A365" t="s">
        <v>19</v>
      </c>
      <c r="B365" t="s">
        <v>47</v>
      </c>
      <c r="C365" s="14">
        <v>1999</v>
      </c>
      <c r="D365" t="str">
        <f t="shared" si="10"/>
        <v>yes</v>
      </c>
      <c r="E365">
        <f>COUNTIF($B$8:$B$1006,"Ukraine")</f>
        <v>13</v>
      </c>
      <c r="F365" s="23"/>
      <c r="G365" s="3" t="str">
        <f t="shared" si="11"/>
        <v/>
      </c>
      <c r="H365" s="14"/>
    </row>
    <row r="366" spans="1:8" x14ac:dyDescent="0.2">
      <c r="A366" t="s">
        <v>49</v>
      </c>
      <c r="B366" t="s">
        <v>48</v>
      </c>
      <c r="C366" s="14">
        <v>1999</v>
      </c>
      <c r="D366" t="str">
        <f t="shared" si="10"/>
        <v>yes</v>
      </c>
      <c r="E366">
        <f>COUNTIF($B$8:$B$1006,"Argentina")</f>
        <v>22</v>
      </c>
      <c r="F366" s="23"/>
      <c r="G366" s="3" t="str">
        <f t="shared" si="11"/>
        <v/>
      </c>
      <c r="H366" s="14"/>
    </row>
    <row r="367" spans="1:8" x14ac:dyDescent="0.2">
      <c r="A367" t="s">
        <v>49</v>
      </c>
      <c r="B367" t="s">
        <v>50</v>
      </c>
      <c r="C367" s="14">
        <v>1999</v>
      </c>
      <c r="D367" t="str">
        <f t="shared" si="10"/>
        <v>yes</v>
      </c>
      <c r="E367">
        <f>COUNTIF($B$8:$B$1006,"Belize")</f>
        <v>7</v>
      </c>
      <c r="F367" s="23"/>
      <c r="G367" s="3" t="str">
        <f t="shared" si="11"/>
        <v/>
      </c>
      <c r="H367" s="14"/>
    </row>
    <row r="368" spans="1:8" x14ac:dyDescent="0.2">
      <c r="A368" t="s">
        <v>49</v>
      </c>
      <c r="B368" t="s">
        <v>51</v>
      </c>
      <c r="C368" s="14">
        <v>1999</v>
      </c>
      <c r="D368" t="str">
        <f t="shared" si="10"/>
        <v>yes</v>
      </c>
      <c r="E368">
        <f>COUNTIF($B$8:$B$1006,"Bolivia")</f>
        <v>11</v>
      </c>
      <c r="F368" s="23"/>
      <c r="G368" s="3" t="str">
        <f t="shared" si="11"/>
        <v/>
      </c>
      <c r="H368" s="14"/>
    </row>
    <row r="369" spans="1:8" x14ac:dyDescent="0.2">
      <c r="A369" t="s">
        <v>49</v>
      </c>
      <c r="B369" t="s">
        <v>52</v>
      </c>
      <c r="C369" s="14">
        <v>1999</v>
      </c>
      <c r="D369" t="str">
        <f t="shared" si="10"/>
        <v>yes</v>
      </c>
      <c r="E369">
        <f>COUNTIF($B$8:$B$1006,"Brazil")</f>
        <v>26</v>
      </c>
      <c r="F369" s="23"/>
      <c r="G369" s="3" t="str">
        <f t="shared" si="11"/>
        <v/>
      </c>
      <c r="H369" s="14"/>
    </row>
    <row r="370" spans="1:8" x14ac:dyDescent="0.2">
      <c r="A370" t="s">
        <v>49</v>
      </c>
      <c r="B370" t="s">
        <v>54</v>
      </c>
      <c r="C370" s="14">
        <v>1999</v>
      </c>
      <c r="D370" t="str">
        <f t="shared" si="10"/>
        <v>yes</v>
      </c>
      <c r="E370">
        <f>COUNTIF($B$8:$B$1006,"Colombia")</f>
        <v>18</v>
      </c>
      <c r="F370" s="23"/>
      <c r="G370" s="3" t="str">
        <f t="shared" si="11"/>
        <v/>
      </c>
      <c r="H370" s="14"/>
    </row>
    <row r="371" spans="1:8" x14ac:dyDescent="0.2">
      <c r="A371" t="s">
        <v>49</v>
      </c>
      <c r="B371" t="s">
        <v>55</v>
      </c>
      <c r="C371" s="14">
        <v>1999</v>
      </c>
      <c r="D371" t="str">
        <f t="shared" si="10"/>
        <v>yes</v>
      </c>
      <c r="E371">
        <f>COUNTIF($B$8:$B$1006,"Costa Rica")</f>
        <v>23</v>
      </c>
      <c r="F371" s="23"/>
      <c r="G371" s="3" t="str">
        <f t="shared" si="11"/>
        <v/>
      </c>
      <c r="H371" s="14"/>
    </row>
    <row r="372" spans="1:8" x14ac:dyDescent="0.2">
      <c r="A372" t="s">
        <v>49</v>
      </c>
      <c r="B372" t="s">
        <v>57</v>
      </c>
      <c r="C372" s="14">
        <v>1999</v>
      </c>
      <c r="D372" t="str">
        <f t="shared" si="10"/>
        <v>yes</v>
      </c>
      <c r="E372">
        <f>COUNTIF($B$8:$B$1006,"Ecuador")</f>
        <v>13</v>
      </c>
      <c r="F372" s="23"/>
      <c r="G372" s="3" t="str">
        <f t="shared" si="11"/>
        <v/>
      </c>
      <c r="H372" s="14"/>
    </row>
    <row r="373" spans="1:8" x14ac:dyDescent="0.2">
      <c r="A373" t="s">
        <v>49</v>
      </c>
      <c r="B373" t="s">
        <v>58</v>
      </c>
      <c r="C373" s="14">
        <v>1999</v>
      </c>
      <c r="D373" t="str">
        <f t="shared" si="10"/>
        <v>yes</v>
      </c>
      <c r="E373">
        <f>COUNTIF($B$8:$B$1006,"El Salvador")</f>
        <v>15</v>
      </c>
      <c r="F373" s="23"/>
      <c r="G373" s="3" t="str">
        <f t="shared" si="11"/>
        <v/>
      </c>
      <c r="H373" s="14"/>
    </row>
    <row r="374" spans="1:8" x14ac:dyDescent="0.2">
      <c r="A374" t="s">
        <v>49</v>
      </c>
      <c r="B374" t="s">
        <v>62</v>
      </c>
      <c r="C374" s="14">
        <v>1999</v>
      </c>
      <c r="D374" t="str">
        <f t="shared" si="10"/>
        <v>yes</v>
      </c>
      <c r="E374">
        <f>COUNTIF($B$8:$B$1006,"Honduras")</f>
        <v>21</v>
      </c>
      <c r="F374" s="23"/>
      <c r="G374" s="3" t="str">
        <f t="shared" si="11"/>
        <v/>
      </c>
      <c r="H374" s="14"/>
    </row>
    <row r="375" spans="1:8" x14ac:dyDescent="0.2">
      <c r="A375" t="s">
        <v>49</v>
      </c>
      <c r="B375" t="s">
        <v>63</v>
      </c>
      <c r="C375" s="14">
        <v>1999</v>
      </c>
      <c r="D375" t="str">
        <f t="shared" si="10"/>
        <v>yes</v>
      </c>
      <c r="E375">
        <f>COUNTIF($B$8:$B$1006,"Jamaica")</f>
        <v>8</v>
      </c>
      <c r="F375" s="23"/>
      <c r="G375" s="3" t="str">
        <f t="shared" si="11"/>
        <v/>
      </c>
      <c r="H375" s="14"/>
    </row>
    <row r="376" spans="1:8" x14ac:dyDescent="0.2">
      <c r="A376" t="s">
        <v>49</v>
      </c>
      <c r="B376" t="s">
        <v>67</v>
      </c>
      <c r="C376" s="14">
        <v>1999</v>
      </c>
      <c r="D376" t="str">
        <f t="shared" si="10"/>
        <v>yes</v>
      </c>
      <c r="E376">
        <f>COUNTIF($B$8:$B$1006,"Paraguay")</f>
        <v>14</v>
      </c>
      <c r="F376" s="23"/>
      <c r="G376" s="3" t="str">
        <f t="shared" si="11"/>
        <v/>
      </c>
      <c r="H376" s="14"/>
    </row>
    <row r="377" spans="1:8" x14ac:dyDescent="0.2">
      <c r="A377" t="s">
        <v>49</v>
      </c>
      <c r="B377" t="s">
        <v>68</v>
      </c>
      <c r="C377" s="14">
        <v>1999</v>
      </c>
      <c r="D377" t="str">
        <f t="shared" si="10"/>
        <v>yes</v>
      </c>
      <c r="E377">
        <f>COUNTIF($B$8:$B$1006,"Peru")</f>
        <v>16</v>
      </c>
      <c r="F377" s="23"/>
      <c r="G377" s="3" t="str">
        <f t="shared" si="11"/>
        <v/>
      </c>
      <c r="H377" s="14"/>
    </row>
    <row r="378" spans="1:8" x14ac:dyDescent="0.2">
      <c r="A378" t="s">
        <v>49</v>
      </c>
      <c r="B378" t="s">
        <v>70</v>
      </c>
      <c r="C378" s="14">
        <v>1999</v>
      </c>
      <c r="D378" t="str">
        <f t="shared" si="10"/>
        <v>yes</v>
      </c>
      <c r="E378">
        <f>COUNTIF($B$8:$B$1006,"Suriname")</f>
        <v>1</v>
      </c>
      <c r="F378" s="23"/>
      <c r="G378" s="3">
        <f t="shared" si="11"/>
        <v>1</v>
      </c>
      <c r="H378" s="14" t="s">
        <v>70</v>
      </c>
    </row>
    <row r="379" spans="1:8" x14ac:dyDescent="0.2">
      <c r="A379" t="s">
        <v>49</v>
      </c>
      <c r="B379" t="s">
        <v>73</v>
      </c>
      <c r="C379" s="14">
        <v>1999</v>
      </c>
      <c r="D379" t="str">
        <f t="shared" si="10"/>
        <v>yes</v>
      </c>
      <c r="E379">
        <f>COUNTIF($B$8:$B$1006,"Venezuela")</f>
        <v>13</v>
      </c>
      <c r="F379" s="23"/>
      <c r="G379" s="3" t="str">
        <f t="shared" si="11"/>
        <v/>
      </c>
      <c r="H379" s="14"/>
    </row>
    <row r="380" spans="1:8" x14ac:dyDescent="0.2">
      <c r="A380" t="s">
        <v>74</v>
      </c>
      <c r="B380" t="s">
        <v>81</v>
      </c>
      <c r="C380" s="14">
        <v>1999</v>
      </c>
      <c r="D380" t="str">
        <f t="shared" si="10"/>
        <v>yes</v>
      </c>
      <c r="E380">
        <f>COUNTIF($B$8:$B$1006,"Morocco")</f>
        <v>5</v>
      </c>
      <c r="F380" s="23"/>
      <c r="G380" s="3" t="str">
        <f t="shared" si="11"/>
        <v/>
      </c>
      <c r="H380" s="14"/>
    </row>
    <row r="381" spans="1:8" x14ac:dyDescent="0.2">
      <c r="A381" t="s">
        <v>87</v>
      </c>
      <c r="B381" t="s">
        <v>92</v>
      </c>
      <c r="C381" s="14">
        <v>1999</v>
      </c>
      <c r="D381" t="str">
        <f t="shared" si="10"/>
        <v>yes</v>
      </c>
      <c r="E381">
        <f>COUNTIF($B$8:$B$1006,"Pakistan")</f>
        <v>8</v>
      </c>
      <c r="F381" s="23"/>
      <c r="G381" s="3" t="str">
        <f t="shared" si="11"/>
        <v/>
      </c>
      <c r="H381" s="14"/>
    </row>
    <row r="382" spans="1:8" x14ac:dyDescent="0.2">
      <c r="A382" t="s">
        <v>95</v>
      </c>
      <c r="B382" t="s">
        <v>117</v>
      </c>
      <c r="C382" s="14">
        <v>1999</v>
      </c>
      <c r="D382" t="str">
        <f t="shared" si="10"/>
        <v>yes</v>
      </c>
      <c r="E382">
        <f>COUNTIF($B$8:$B$1006,"Madagascar")</f>
        <v>7</v>
      </c>
      <c r="F382" s="23"/>
      <c r="G382" s="3" t="str">
        <f t="shared" si="11"/>
        <v/>
      </c>
      <c r="H382" s="14"/>
    </row>
    <row r="383" spans="1:8" x14ac:dyDescent="0.2">
      <c r="A383" t="s">
        <v>95</v>
      </c>
      <c r="B383" t="s">
        <v>135</v>
      </c>
      <c r="C383" s="14">
        <v>1999</v>
      </c>
      <c r="D383" t="str">
        <f t="shared" si="10"/>
        <v>yes</v>
      </c>
      <c r="E383">
        <f>COUNTIF($B$8:$B$1006,"Uganda")</f>
        <v>7</v>
      </c>
      <c r="F383" s="23"/>
      <c r="G383" s="3" t="str">
        <f t="shared" si="11"/>
        <v/>
      </c>
      <c r="H383" s="14"/>
    </row>
    <row r="384" spans="1:8" x14ac:dyDescent="0.2">
      <c r="A384" t="s">
        <v>4</v>
      </c>
      <c r="B384" t="s">
        <v>13</v>
      </c>
      <c r="C384" s="14">
        <v>2000</v>
      </c>
      <c r="D384" t="str">
        <f t="shared" si="10"/>
        <v>yes</v>
      </c>
      <c r="E384">
        <f>COUNTIF($B$8:$B$1006,"Micronesia")</f>
        <v>1</v>
      </c>
      <c r="F384" s="23"/>
      <c r="G384" s="3">
        <f t="shared" si="11"/>
        <v>1</v>
      </c>
      <c r="H384" s="14" t="s">
        <v>13</v>
      </c>
    </row>
    <row r="385" spans="1:8" x14ac:dyDescent="0.2">
      <c r="A385" t="s">
        <v>4</v>
      </c>
      <c r="B385" t="s">
        <v>15</v>
      </c>
      <c r="C385" s="14">
        <v>2000</v>
      </c>
      <c r="D385" t="str">
        <f t="shared" si="10"/>
        <v>yes</v>
      </c>
      <c r="E385">
        <f>COUNTIF($B$8:$B$1006,"Philippines")</f>
        <v>9</v>
      </c>
      <c r="F385" s="23"/>
      <c r="G385" s="3" t="str">
        <f t="shared" si="11"/>
        <v/>
      </c>
      <c r="H385" s="14"/>
    </row>
    <row r="386" spans="1:8" x14ac:dyDescent="0.2">
      <c r="A386" t="s">
        <v>4</v>
      </c>
      <c r="B386" t="s">
        <v>16</v>
      </c>
      <c r="C386" s="14">
        <v>2000</v>
      </c>
      <c r="D386" t="str">
        <f t="shared" si="10"/>
        <v>yes</v>
      </c>
      <c r="E386">
        <f>COUNTIF($B$8:$B$1006,"Thailand")</f>
        <v>13</v>
      </c>
      <c r="F386" s="23"/>
      <c r="G386" s="3" t="str">
        <f t="shared" si="11"/>
        <v/>
      </c>
      <c r="H386" s="14"/>
    </row>
    <row r="387" spans="1:8" x14ac:dyDescent="0.2">
      <c r="A387" t="s">
        <v>19</v>
      </c>
      <c r="B387" t="s">
        <v>23</v>
      </c>
      <c r="C387" s="14">
        <v>2000</v>
      </c>
      <c r="D387" t="str">
        <f t="shared" si="10"/>
        <v>yes</v>
      </c>
      <c r="E387">
        <f>COUNTIF($B$8:$B$1006,"Belarus")</f>
        <v>12</v>
      </c>
      <c r="F387" s="23"/>
      <c r="G387" s="3" t="str">
        <f t="shared" si="11"/>
        <v/>
      </c>
      <c r="H387" s="14"/>
    </row>
    <row r="388" spans="1:8" x14ac:dyDescent="0.2">
      <c r="A388" t="s">
        <v>19</v>
      </c>
      <c r="B388" t="s">
        <v>26</v>
      </c>
      <c r="C388" s="14">
        <v>2000</v>
      </c>
      <c r="D388" t="str">
        <f t="shared" si="10"/>
        <v>yes</v>
      </c>
      <c r="E388">
        <f>COUNTIF($B$8:$B$1006,"Croatia")</f>
        <v>7</v>
      </c>
      <c r="F388" s="23"/>
      <c r="G388" s="3" t="str">
        <f t="shared" si="11"/>
        <v/>
      </c>
      <c r="H388" s="14"/>
    </row>
    <row r="389" spans="1:8" x14ac:dyDescent="0.2">
      <c r="A389" t="s">
        <v>19</v>
      </c>
      <c r="B389" t="s">
        <v>28</v>
      </c>
      <c r="C389" s="14">
        <v>2000</v>
      </c>
      <c r="D389" t="str">
        <f t="shared" si="10"/>
        <v>yes</v>
      </c>
      <c r="E389">
        <f>COUNTIF($B$8:$B$1006,"Estonia")</f>
        <v>9</v>
      </c>
      <c r="F389" s="23"/>
      <c r="G389" s="3" t="str">
        <f t="shared" si="11"/>
        <v/>
      </c>
      <c r="H389" s="14"/>
    </row>
    <row r="390" spans="1:8" x14ac:dyDescent="0.2">
      <c r="A390" t="s">
        <v>19</v>
      </c>
      <c r="B390" t="s">
        <v>29</v>
      </c>
      <c r="C390" s="14">
        <v>2000</v>
      </c>
      <c r="D390" t="str">
        <f t="shared" si="10"/>
        <v>yes</v>
      </c>
      <c r="E390">
        <f>COUNTIF($B$8:$B$1006,"Georgia")</f>
        <v>12</v>
      </c>
      <c r="F390" s="23"/>
      <c r="G390" s="3" t="str">
        <f t="shared" si="11"/>
        <v/>
      </c>
      <c r="H390" s="14"/>
    </row>
    <row r="391" spans="1:8" x14ac:dyDescent="0.2">
      <c r="A391" t="s">
        <v>19</v>
      </c>
      <c r="B391" t="s">
        <v>30</v>
      </c>
      <c r="C391" s="14">
        <v>2000</v>
      </c>
      <c r="D391" t="str">
        <f t="shared" si="10"/>
        <v>yes</v>
      </c>
      <c r="E391">
        <f>COUNTIF($B$8:$B$1006,"Hungary")</f>
        <v>10</v>
      </c>
      <c r="F391" s="23"/>
      <c r="G391" s="3" t="str">
        <f t="shared" si="11"/>
        <v/>
      </c>
      <c r="H391" s="14"/>
    </row>
    <row r="392" spans="1:8" x14ac:dyDescent="0.2">
      <c r="A392" t="s">
        <v>19</v>
      </c>
      <c r="B392" t="s">
        <v>34</v>
      </c>
      <c r="C392" s="14">
        <v>2000</v>
      </c>
      <c r="D392" t="str">
        <f t="shared" ref="D392:D455" si="12">IF(F392="LSMS","no","yes")</f>
        <v>yes</v>
      </c>
      <c r="E392">
        <f>COUNTIF($B$8:$B$1006,"Lithuania")</f>
        <v>9</v>
      </c>
      <c r="F392" s="23"/>
      <c r="G392" s="3" t="str">
        <f t="shared" ref="G392:G455" si="13">IF(H392="","",1)</f>
        <v/>
      </c>
      <c r="H392" s="14"/>
    </row>
    <row r="393" spans="1:8" x14ac:dyDescent="0.2">
      <c r="A393" t="s">
        <v>19</v>
      </c>
      <c r="B393" t="s">
        <v>35</v>
      </c>
      <c r="C393" s="14">
        <v>2000</v>
      </c>
      <c r="D393" t="str">
        <f t="shared" si="12"/>
        <v>yes</v>
      </c>
      <c r="E393">
        <f>COUNTIF($B$8:$B$1006,"Macedonia")</f>
        <v>9</v>
      </c>
      <c r="F393" s="23"/>
      <c r="G393" s="3" t="str">
        <f t="shared" si="13"/>
        <v/>
      </c>
      <c r="H393" s="14"/>
    </row>
    <row r="394" spans="1:8" x14ac:dyDescent="0.2">
      <c r="A394" t="s">
        <v>19</v>
      </c>
      <c r="B394" t="s">
        <v>38</v>
      </c>
      <c r="C394" s="14">
        <v>2000</v>
      </c>
      <c r="D394" t="str">
        <f t="shared" si="12"/>
        <v>yes</v>
      </c>
      <c r="E394">
        <f>COUNTIF($B$8:$B$1006,"Poland")</f>
        <v>17</v>
      </c>
      <c r="F394" s="23"/>
      <c r="G394" s="3" t="str">
        <f t="shared" si="13"/>
        <v/>
      </c>
      <c r="H394" s="14"/>
    </row>
    <row r="395" spans="1:8" x14ac:dyDescent="0.2">
      <c r="A395" t="s">
        <v>19</v>
      </c>
      <c r="B395" t="s">
        <v>39</v>
      </c>
      <c r="C395" s="14">
        <v>2000</v>
      </c>
      <c r="D395" t="str">
        <f t="shared" si="12"/>
        <v>yes</v>
      </c>
      <c r="E395">
        <f>COUNTIF($B$8:$B$1006,"Romania")</f>
        <v>14</v>
      </c>
      <c r="F395" s="23"/>
      <c r="G395" s="3" t="str">
        <f t="shared" si="13"/>
        <v/>
      </c>
      <c r="H395" s="14"/>
    </row>
    <row r="396" spans="1:8" x14ac:dyDescent="0.2">
      <c r="A396" t="s">
        <v>49</v>
      </c>
      <c r="B396" t="s">
        <v>48</v>
      </c>
      <c r="C396" s="14">
        <v>2000</v>
      </c>
      <c r="D396" t="str">
        <f t="shared" si="12"/>
        <v>yes</v>
      </c>
      <c r="E396">
        <f>COUNTIF($B$8:$B$1006,"Argentina")</f>
        <v>22</v>
      </c>
      <c r="F396" s="23"/>
      <c r="G396" s="3" t="str">
        <f t="shared" si="13"/>
        <v/>
      </c>
      <c r="H396" s="14"/>
    </row>
    <row r="397" spans="1:8" x14ac:dyDescent="0.2">
      <c r="A397" t="s">
        <v>49</v>
      </c>
      <c r="B397" t="s">
        <v>51</v>
      </c>
      <c r="C397" s="14">
        <v>2000</v>
      </c>
      <c r="D397" t="str">
        <f t="shared" si="12"/>
        <v>yes</v>
      </c>
      <c r="E397">
        <f>COUNTIF($B$8:$B$1006,"Bolivia")</f>
        <v>11</v>
      </c>
      <c r="F397" s="23"/>
      <c r="G397" s="3" t="str">
        <f t="shared" si="13"/>
        <v/>
      </c>
      <c r="H397" s="14"/>
    </row>
    <row r="398" spans="1:8" x14ac:dyDescent="0.2">
      <c r="A398" t="s">
        <v>49</v>
      </c>
      <c r="B398" t="s">
        <v>53</v>
      </c>
      <c r="C398" s="14">
        <v>2000</v>
      </c>
      <c r="D398" t="str">
        <f t="shared" si="12"/>
        <v>yes</v>
      </c>
      <c r="E398">
        <f>COUNTIF($B$8:$B$1006,"Chile")</f>
        <v>10</v>
      </c>
      <c r="F398" s="23"/>
      <c r="G398" s="3" t="str">
        <f t="shared" si="13"/>
        <v/>
      </c>
      <c r="H398" s="14"/>
    </row>
    <row r="399" spans="1:8" x14ac:dyDescent="0.2">
      <c r="A399" t="s">
        <v>49</v>
      </c>
      <c r="B399" t="s">
        <v>54</v>
      </c>
      <c r="C399" s="14">
        <v>2000</v>
      </c>
      <c r="D399" t="str">
        <f t="shared" si="12"/>
        <v>yes</v>
      </c>
      <c r="E399">
        <f>COUNTIF($B$8:$B$1006,"Colombia")</f>
        <v>18</v>
      </c>
      <c r="F399" s="23"/>
      <c r="G399" s="3" t="str">
        <f t="shared" si="13"/>
        <v/>
      </c>
      <c r="H399" s="14"/>
    </row>
    <row r="400" spans="1:8" x14ac:dyDescent="0.2">
      <c r="A400" t="s">
        <v>49</v>
      </c>
      <c r="B400" t="s">
        <v>55</v>
      </c>
      <c r="C400" s="14">
        <v>2000</v>
      </c>
      <c r="D400" t="str">
        <f t="shared" si="12"/>
        <v>yes</v>
      </c>
      <c r="E400">
        <f>COUNTIF($B$8:$B$1006,"Costa Rica")</f>
        <v>23</v>
      </c>
      <c r="F400" s="23"/>
      <c r="G400" s="3" t="str">
        <f t="shared" si="13"/>
        <v/>
      </c>
      <c r="H400" s="14"/>
    </row>
    <row r="401" spans="1:8" x14ac:dyDescent="0.2">
      <c r="A401" t="s">
        <v>49</v>
      </c>
      <c r="B401" t="s">
        <v>56</v>
      </c>
      <c r="C401" s="14">
        <v>2000</v>
      </c>
      <c r="D401" t="str">
        <f t="shared" si="12"/>
        <v>yes</v>
      </c>
      <c r="E401">
        <f>COUNTIF($B$8:$B$1006,"Dominican Republic")</f>
        <v>16</v>
      </c>
      <c r="F401" s="23"/>
      <c r="G401" s="3" t="str">
        <f t="shared" si="13"/>
        <v/>
      </c>
      <c r="H401" s="14"/>
    </row>
    <row r="402" spans="1:8" x14ac:dyDescent="0.2">
      <c r="A402" t="s">
        <v>49</v>
      </c>
      <c r="B402" t="s">
        <v>57</v>
      </c>
      <c r="C402" s="14">
        <v>2000</v>
      </c>
      <c r="D402" t="str">
        <f t="shared" si="12"/>
        <v>yes</v>
      </c>
      <c r="E402">
        <f>COUNTIF($B$8:$B$1006,"Ecuador")</f>
        <v>13</v>
      </c>
      <c r="F402" s="23"/>
      <c r="G402" s="3" t="str">
        <f t="shared" si="13"/>
        <v/>
      </c>
      <c r="H402" s="14"/>
    </row>
    <row r="403" spans="1:8" x14ac:dyDescent="0.2">
      <c r="A403" t="s">
        <v>49</v>
      </c>
      <c r="B403" t="s">
        <v>59</v>
      </c>
      <c r="C403" s="14">
        <v>2000</v>
      </c>
      <c r="D403" t="str">
        <f t="shared" si="12"/>
        <v>yes</v>
      </c>
      <c r="E403">
        <f>COUNTIF($B$8:$B$1006,"Guatemala")</f>
        <v>8</v>
      </c>
      <c r="F403" s="23"/>
      <c r="G403" s="3" t="str">
        <f t="shared" si="13"/>
        <v/>
      </c>
      <c r="H403" s="14"/>
    </row>
    <row r="404" spans="1:8" x14ac:dyDescent="0.2">
      <c r="A404" t="s">
        <v>49</v>
      </c>
      <c r="B404" t="s">
        <v>64</v>
      </c>
      <c r="C404" s="14">
        <v>2000</v>
      </c>
      <c r="D404" t="str">
        <f t="shared" si="12"/>
        <v>yes</v>
      </c>
      <c r="E404">
        <f>COUNTIF($B$8:$B$1006,"Mexico")</f>
        <v>13</v>
      </c>
      <c r="F404" s="23"/>
      <c r="G404" s="3" t="str">
        <f t="shared" si="13"/>
        <v/>
      </c>
      <c r="H404" s="14"/>
    </row>
    <row r="405" spans="1:8" x14ac:dyDescent="0.2">
      <c r="A405" t="s">
        <v>49</v>
      </c>
      <c r="B405" t="s">
        <v>68</v>
      </c>
      <c r="C405" s="14">
        <v>2000</v>
      </c>
      <c r="D405" t="str">
        <f t="shared" si="12"/>
        <v>yes</v>
      </c>
      <c r="E405">
        <f>COUNTIF($B$8:$B$1006,"Peru")</f>
        <v>16</v>
      </c>
      <c r="F405" s="23"/>
      <c r="G405" s="3" t="str">
        <f t="shared" si="13"/>
        <v/>
      </c>
      <c r="H405" s="14"/>
    </row>
    <row r="406" spans="1:8" x14ac:dyDescent="0.2">
      <c r="A406" t="s">
        <v>49</v>
      </c>
      <c r="B406" t="s">
        <v>72</v>
      </c>
      <c r="C406" s="14">
        <v>2000</v>
      </c>
      <c r="D406" t="str">
        <f t="shared" si="12"/>
        <v>yes</v>
      </c>
      <c r="E406">
        <f>COUNTIF($B$8:$B$1006,"Uruguay")</f>
        <v>18</v>
      </c>
      <c r="F406" s="23"/>
      <c r="G406" s="3" t="str">
        <f t="shared" si="13"/>
        <v/>
      </c>
      <c r="H406" s="14"/>
    </row>
    <row r="407" spans="1:8" x14ac:dyDescent="0.2">
      <c r="A407" t="s">
        <v>74</v>
      </c>
      <c r="B407" t="s">
        <v>77</v>
      </c>
      <c r="C407" s="14">
        <v>2000</v>
      </c>
      <c r="D407" t="str">
        <f t="shared" si="12"/>
        <v>yes</v>
      </c>
      <c r="E407">
        <f>COUNTIF($B$8:$B$1006,"Egypt")</f>
        <v>5</v>
      </c>
      <c r="F407" s="23"/>
      <c r="G407" s="3" t="str">
        <f t="shared" si="13"/>
        <v/>
      </c>
      <c r="H407" s="14"/>
    </row>
    <row r="408" spans="1:8" x14ac:dyDescent="0.2">
      <c r="A408" t="s">
        <v>74</v>
      </c>
      <c r="B408" t="s">
        <v>83</v>
      </c>
      <c r="C408" s="14">
        <v>2000</v>
      </c>
      <c r="D408" t="str">
        <f t="shared" si="12"/>
        <v>yes</v>
      </c>
      <c r="E408">
        <f>COUNTIF($B$8:$B$1006,"Tunisia")</f>
        <v>5</v>
      </c>
      <c r="F408" s="23"/>
      <c r="G408" s="3" t="str">
        <f t="shared" si="13"/>
        <v/>
      </c>
      <c r="H408" s="14"/>
    </row>
    <row r="409" spans="1:8" x14ac:dyDescent="0.2">
      <c r="A409" t="s">
        <v>87</v>
      </c>
      <c r="B409" t="s">
        <v>86</v>
      </c>
      <c r="C409" s="14">
        <v>2000</v>
      </c>
      <c r="D409" t="str">
        <f t="shared" si="12"/>
        <v>yes</v>
      </c>
      <c r="E409">
        <f>COUNTIF($B$8:$B$1006,"Bangladesh")</f>
        <v>8</v>
      </c>
      <c r="F409" s="23"/>
      <c r="G409" s="3" t="str">
        <f t="shared" si="13"/>
        <v/>
      </c>
      <c r="H409" s="14"/>
    </row>
    <row r="410" spans="1:8" x14ac:dyDescent="0.2">
      <c r="A410" t="s">
        <v>95</v>
      </c>
      <c r="B410" t="s">
        <v>94</v>
      </c>
      <c r="C410" s="14">
        <v>2000</v>
      </c>
      <c r="D410" t="str">
        <f t="shared" si="12"/>
        <v>yes</v>
      </c>
      <c r="E410">
        <f>COUNTIF($B$8:$B$1006,"Angola")</f>
        <v>1</v>
      </c>
      <c r="F410" s="23"/>
      <c r="G410" s="3">
        <f t="shared" si="13"/>
        <v>1</v>
      </c>
      <c r="H410" s="14" t="s">
        <v>94</v>
      </c>
    </row>
    <row r="411" spans="1:8" x14ac:dyDescent="0.2">
      <c r="A411" t="s">
        <v>95</v>
      </c>
      <c r="B411" t="s">
        <v>108</v>
      </c>
      <c r="C411" s="14">
        <v>2000</v>
      </c>
      <c r="D411" t="str">
        <f t="shared" si="12"/>
        <v>yes</v>
      </c>
      <c r="E411">
        <f>COUNTIF($B$8:$B$1006,"Ethiopia")</f>
        <v>4</v>
      </c>
      <c r="F411" s="23"/>
      <c r="G411" s="3" t="str">
        <f t="shared" si="13"/>
        <v/>
      </c>
      <c r="H411" s="14"/>
    </row>
    <row r="412" spans="1:8" x14ac:dyDescent="0.2">
      <c r="A412" t="s">
        <v>95</v>
      </c>
      <c r="B412" t="s">
        <v>120</v>
      </c>
      <c r="C412" s="14">
        <v>2000</v>
      </c>
      <c r="D412" t="str">
        <f t="shared" si="12"/>
        <v>yes</v>
      </c>
      <c r="E412">
        <f>COUNTIF($B$8:$B$1006,"Mauritania")</f>
        <v>6</v>
      </c>
      <c r="F412" s="23"/>
      <c r="G412" s="3" t="str">
        <f t="shared" si="13"/>
        <v/>
      </c>
      <c r="H412" s="14"/>
    </row>
    <row r="413" spans="1:8" x14ac:dyDescent="0.2">
      <c r="A413" t="s">
        <v>95</v>
      </c>
      <c r="B413" t="s">
        <v>125</v>
      </c>
      <c r="C413" s="14">
        <v>2000</v>
      </c>
      <c r="D413" t="str">
        <f t="shared" si="12"/>
        <v>yes</v>
      </c>
      <c r="E413">
        <f>COUNTIF($B$8:$B$1006,"Rwanda")</f>
        <v>3</v>
      </c>
      <c r="F413" s="23"/>
      <c r="G413" s="3" t="str">
        <f t="shared" si="13"/>
        <v/>
      </c>
      <c r="H413" s="14"/>
    </row>
    <row r="414" spans="1:8" x14ac:dyDescent="0.2">
      <c r="A414" t="s">
        <v>95</v>
      </c>
      <c r="B414" t="s">
        <v>128</v>
      </c>
      <c r="C414" s="14">
        <v>2000</v>
      </c>
      <c r="D414" t="str">
        <f t="shared" si="12"/>
        <v>yes</v>
      </c>
      <c r="E414">
        <f>COUNTIF($B$8:$B$1006,"Seychelles")</f>
        <v>2</v>
      </c>
      <c r="F414" s="23"/>
      <c r="G414" s="3">
        <f t="shared" si="13"/>
        <v>1</v>
      </c>
      <c r="H414" s="14" t="s">
        <v>128</v>
      </c>
    </row>
    <row r="415" spans="1:8" x14ac:dyDescent="0.2">
      <c r="A415" t="s">
        <v>95</v>
      </c>
      <c r="B415" t="s">
        <v>130</v>
      </c>
      <c r="C415" s="14">
        <v>2000</v>
      </c>
      <c r="D415" t="str">
        <f t="shared" si="12"/>
        <v>yes</v>
      </c>
      <c r="E415">
        <f>COUNTIF($B$8:$B$1006,"South Africa")</f>
        <v>5</v>
      </c>
      <c r="F415" s="23"/>
      <c r="G415" s="3" t="str">
        <f t="shared" si="13"/>
        <v/>
      </c>
      <c r="H415" s="14"/>
    </row>
    <row r="416" spans="1:8" x14ac:dyDescent="0.2">
      <c r="A416" t="s">
        <v>95</v>
      </c>
      <c r="B416" t="s">
        <v>133</v>
      </c>
      <c r="C416" s="14">
        <v>2000</v>
      </c>
      <c r="D416" t="str">
        <f t="shared" si="12"/>
        <v>yes</v>
      </c>
      <c r="E416">
        <f>COUNTIF($B$8:$B$1006,"Tanzania")</f>
        <v>3</v>
      </c>
      <c r="F416" s="23"/>
      <c r="G416" s="3" t="str">
        <f t="shared" si="13"/>
        <v/>
      </c>
      <c r="H416" s="14"/>
    </row>
    <row r="417" spans="1:8" x14ac:dyDescent="0.2">
      <c r="A417" t="s">
        <v>4</v>
      </c>
      <c r="B417" t="s">
        <v>17</v>
      </c>
      <c r="C417" s="14">
        <v>2001</v>
      </c>
      <c r="D417" t="str">
        <f t="shared" si="12"/>
        <v>yes</v>
      </c>
      <c r="E417">
        <f>COUNTIF($B$8:$B$1006,"Timor-Leste")</f>
        <v>2</v>
      </c>
      <c r="F417" s="23"/>
      <c r="G417" s="3">
        <f t="shared" si="13"/>
        <v>1</v>
      </c>
      <c r="H417" s="14" t="s">
        <v>17</v>
      </c>
    </row>
    <row r="418" spans="1:8" x14ac:dyDescent="0.2">
      <c r="A418" t="s">
        <v>19</v>
      </c>
      <c r="B418" t="s">
        <v>21</v>
      </c>
      <c r="C418" s="14">
        <v>2001</v>
      </c>
      <c r="D418" t="str">
        <f t="shared" si="12"/>
        <v>yes</v>
      </c>
      <c r="E418">
        <f>COUNTIF($B$8:$B$1006,"Armenia")</f>
        <v>10</v>
      </c>
      <c r="F418" s="23"/>
      <c r="G418" s="3" t="str">
        <f t="shared" si="13"/>
        <v/>
      </c>
      <c r="H418" s="14"/>
    </row>
    <row r="419" spans="1:8" x14ac:dyDescent="0.2">
      <c r="A419" t="s">
        <v>19</v>
      </c>
      <c r="B419" t="s">
        <v>22</v>
      </c>
      <c r="C419" s="14">
        <v>2001</v>
      </c>
      <c r="D419" t="str">
        <f t="shared" si="12"/>
        <v>yes</v>
      </c>
      <c r="E419">
        <f>COUNTIF($B$8:$B$1006,"Azerbaijan")</f>
        <v>3</v>
      </c>
      <c r="F419" s="23"/>
      <c r="G419" s="3" t="str">
        <f t="shared" si="13"/>
        <v/>
      </c>
      <c r="H419" s="14"/>
    </row>
    <row r="420" spans="1:8" x14ac:dyDescent="0.2">
      <c r="A420" t="s">
        <v>19</v>
      </c>
      <c r="B420" t="s">
        <v>23</v>
      </c>
      <c r="C420" s="14">
        <v>2001</v>
      </c>
      <c r="D420" t="str">
        <f t="shared" si="12"/>
        <v>yes</v>
      </c>
      <c r="E420">
        <f>COUNTIF($B$8:$B$1006,"Belarus")</f>
        <v>12</v>
      </c>
      <c r="F420" s="23"/>
      <c r="G420" s="3" t="str">
        <f t="shared" si="13"/>
        <v/>
      </c>
      <c r="H420" s="14"/>
    </row>
    <row r="421" spans="1:8" x14ac:dyDescent="0.2">
      <c r="A421" t="s">
        <v>19</v>
      </c>
      <c r="B421" t="s">
        <v>24</v>
      </c>
      <c r="C421" s="14">
        <v>2001</v>
      </c>
      <c r="D421" t="str">
        <f t="shared" si="12"/>
        <v>yes</v>
      </c>
      <c r="E421">
        <f>COUNTIF($B$8:$B$1006,"Bosnia and Herzegovina")</f>
        <v>3</v>
      </c>
      <c r="F421" s="23"/>
      <c r="G421" s="3">
        <f t="shared" si="13"/>
        <v>1</v>
      </c>
      <c r="H421" s="14" t="s">
        <v>24</v>
      </c>
    </row>
    <row r="422" spans="1:8" x14ac:dyDescent="0.2">
      <c r="A422" t="s">
        <v>19</v>
      </c>
      <c r="B422" t="s">
        <v>25</v>
      </c>
      <c r="C422" s="14">
        <v>2001</v>
      </c>
      <c r="D422" t="str">
        <f t="shared" si="12"/>
        <v>yes</v>
      </c>
      <c r="E422">
        <f>COUNTIF($B$8:$B$1006,"Bulgaria")</f>
        <v>8</v>
      </c>
      <c r="F422" s="23"/>
      <c r="G422" s="3" t="str">
        <f t="shared" si="13"/>
        <v/>
      </c>
      <c r="H422" s="14"/>
    </row>
    <row r="423" spans="1:8" x14ac:dyDescent="0.2">
      <c r="A423" t="s">
        <v>19</v>
      </c>
      <c r="B423" t="s">
        <v>26</v>
      </c>
      <c r="C423" s="14">
        <v>2001</v>
      </c>
      <c r="D423" t="str">
        <f t="shared" si="12"/>
        <v>yes</v>
      </c>
      <c r="E423">
        <f>COUNTIF($B$8:$B$1006,"Croatia")</f>
        <v>7</v>
      </c>
      <c r="F423" s="23"/>
      <c r="G423" s="3" t="str">
        <f t="shared" si="13"/>
        <v/>
      </c>
      <c r="H423" s="14"/>
    </row>
    <row r="424" spans="1:8" x14ac:dyDescent="0.2">
      <c r="A424" t="s">
        <v>19</v>
      </c>
      <c r="B424" t="s">
        <v>28</v>
      </c>
      <c r="C424" s="14">
        <v>2001</v>
      </c>
      <c r="D424" t="str">
        <f t="shared" si="12"/>
        <v>yes</v>
      </c>
      <c r="E424">
        <f>COUNTIF($B$8:$B$1006,"Estonia")</f>
        <v>9</v>
      </c>
      <c r="F424" s="23"/>
      <c r="G424" s="3" t="str">
        <f t="shared" si="13"/>
        <v/>
      </c>
      <c r="H424" s="14"/>
    </row>
    <row r="425" spans="1:8" x14ac:dyDescent="0.2">
      <c r="A425" t="s">
        <v>19</v>
      </c>
      <c r="B425" t="s">
        <v>29</v>
      </c>
      <c r="C425" s="14">
        <v>2001</v>
      </c>
      <c r="D425" t="str">
        <f t="shared" si="12"/>
        <v>yes</v>
      </c>
      <c r="E425">
        <f>COUNTIF($B$8:$B$1006,"Georgia")</f>
        <v>12</v>
      </c>
      <c r="F425" s="23"/>
      <c r="G425" s="3" t="str">
        <f t="shared" si="13"/>
        <v/>
      </c>
      <c r="H425" s="14"/>
    </row>
    <row r="426" spans="1:8" x14ac:dyDescent="0.2">
      <c r="A426" t="s">
        <v>19</v>
      </c>
      <c r="B426" t="s">
        <v>30</v>
      </c>
      <c r="C426" s="14">
        <v>2001</v>
      </c>
      <c r="D426" t="str">
        <f t="shared" si="12"/>
        <v>yes</v>
      </c>
      <c r="E426">
        <f>COUNTIF($B$8:$B$1006,"Hungary")</f>
        <v>10</v>
      </c>
      <c r="F426" s="23"/>
      <c r="G426" s="3" t="str">
        <f t="shared" si="13"/>
        <v/>
      </c>
      <c r="H426" s="14"/>
    </row>
    <row r="427" spans="1:8" x14ac:dyDescent="0.2">
      <c r="A427" t="s">
        <v>19</v>
      </c>
      <c r="B427" t="s">
        <v>31</v>
      </c>
      <c r="C427" s="14">
        <v>2001</v>
      </c>
      <c r="D427" t="str">
        <f t="shared" si="12"/>
        <v>yes</v>
      </c>
      <c r="E427">
        <f>COUNTIF($B$8:$B$1006,"Kazakhstan")</f>
        <v>11</v>
      </c>
      <c r="F427" s="23"/>
      <c r="G427" s="3" t="str">
        <f t="shared" si="13"/>
        <v/>
      </c>
      <c r="H427" s="14"/>
    </row>
    <row r="428" spans="1:8" x14ac:dyDescent="0.2">
      <c r="A428" t="s">
        <v>19</v>
      </c>
      <c r="B428" t="s">
        <v>34</v>
      </c>
      <c r="C428" s="14">
        <v>2001</v>
      </c>
      <c r="D428" t="str">
        <f t="shared" si="12"/>
        <v>yes</v>
      </c>
      <c r="E428">
        <f>COUNTIF($B$8:$B$1006,"Lithuania")</f>
        <v>9</v>
      </c>
      <c r="F428" s="23"/>
      <c r="G428" s="3" t="str">
        <f t="shared" si="13"/>
        <v/>
      </c>
      <c r="H428" s="14"/>
    </row>
    <row r="429" spans="1:8" x14ac:dyDescent="0.2">
      <c r="A429" t="s">
        <v>19</v>
      </c>
      <c r="B429" t="s">
        <v>36</v>
      </c>
      <c r="C429" s="14">
        <v>2001</v>
      </c>
      <c r="D429" t="str">
        <f t="shared" si="12"/>
        <v>yes</v>
      </c>
      <c r="E429">
        <f>COUNTIF($B$8:$B$1006,"Moldova")</f>
        <v>15</v>
      </c>
      <c r="F429" s="23"/>
      <c r="G429" s="3" t="str">
        <f t="shared" si="13"/>
        <v/>
      </c>
      <c r="H429" s="14"/>
    </row>
    <row r="430" spans="1:8" x14ac:dyDescent="0.2">
      <c r="A430" t="s">
        <v>19</v>
      </c>
      <c r="B430" t="s">
        <v>38</v>
      </c>
      <c r="C430" s="14">
        <v>2001</v>
      </c>
      <c r="D430" t="str">
        <f t="shared" si="12"/>
        <v>yes</v>
      </c>
      <c r="E430">
        <f>COUNTIF($B$8:$B$1006,"Poland")</f>
        <v>17</v>
      </c>
      <c r="F430" s="23"/>
      <c r="G430" s="3" t="str">
        <f t="shared" si="13"/>
        <v/>
      </c>
      <c r="H430" s="14"/>
    </row>
    <row r="431" spans="1:8" x14ac:dyDescent="0.2">
      <c r="A431" t="s">
        <v>19</v>
      </c>
      <c r="B431" t="s">
        <v>39</v>
      </c>
      <c r="C431" s="14">
        <v>2001</v>
      </c>
      <c r="D431" t="str">
        <f t="shared" si="12"/>
        <v>yes</v>
      </c>
      <c r="E431">
        <f>COUNTIF($B$8:$B$1006,"Romania")</f>
        <v>14</v>
      </c>
      <c r="F431" s="23"/>
      <c r="G431" s="3" t="str">
        <f t="shared" si="13"/>
        <v/>
      </c>
      <c r="H431" s="14"/>
    </row>
    <row r="432" spans="1:8" x14ac:dyDescent="0.2">
      <c r="A432" t="s">
        <v>19</v>
      </c>
      <c r="B432" t="s">
        <v>40</v>
      </c>
      <c r="C432" s="14">
        <v>2001</v>
      </c>
      <c r="D432" t="str">
        <f t="shared" si="12"/>
        <v>yes</v>
      </c>
      <c r="E432">
        <f>COUNTIF($B$8:$B$1006,"Russian Federation")</f>
        <v>13</v>
      </c>
      <c r="F432" s="23"/>
      <c r="G432" s="3" t="str">
        <f t="shared" si="13"/>
        <v/>
      </c>
      <c r="H432" s="14"/>
    </row>
    <row r="433" spans="1:8" x14ac:dyDescent="0.2">
      <c r="A433" t="s">
        <v>49</v>
      </c>
      <c r="B433" t="s">
        <v>48</v>
      </c>
      <c r="C433" s="14">
        <v>2001</v>
      </c>
      <c r="D433" t="str">
        <f t="shared" si="12"/>
        <v>yes</v>
      </c>
      <c r="E433">
        <f>COUNTIF($B$8:$B$1006,"Argentina")</f>
        <v>22</v>
      </c>
      <c r="F433" s="23"/>
      <c r="G433" s="3" t="str">
        <f t="shared" si="13"/>
        <v/>
      </c>
      <c r="H433" s="14"/>
    </row>
    <row r="434" spans="1:8" x14ac:dyDescent="0.2">
      <c r="A434" t="s">
        <v>49</v>
      </c>
      <c r="B434" t="s">
        <v>51</v>
      </c>
      <c r="C434" s="14">
        <v>2001</v>
      </c>
      <c r="D434" t="str">
        <f t="shared" si="12"/>
        <v>yes</v>
      </c>
      <c r="E434">
        <f>COUNTIF($B$8:$B$1006,"Bolivia")</f>
        <v>11</v>
      </c>
      <c r="F434" s="23"/>
      <c r="G434" s="3" t="str">
        <f t="shared" si="13"/>
        <v/>
      </c>
      <c r="H434" s="14"/>
    </row>
    <row r="435" spans="1:8" x14ac:dyDescent="0.2">
      <c r="A435" t="s">
        <v>49</v>
      </c>
      <c r="B435" t="s">
        <v>52</v>
      </c>
      <c r="C435" s="14">
        <v>2001</v>
      </c>
      <c r="D435" t="str">
        <f t="shared" si="12"/>
        <v>yes</v>
      </c>
      <c r="E435">
        <f>COUNTIF($B$8:$B$1006,"Brazil")</f>
        <v>26</v>
      </c>
      <c r="F435" s="23"/>
      <c r="G435" s="3" t="str">
        <f t="shared" si="13"/>
        <v/>
      </c>
      <c r="H435" s="14"/>
    </row>
    <row r="436" spans="1:8" x14ac:dyDescent="0.2">
      <c r="A436" t="s">
        <v>49</v>
      </c>
      <c r="B436" t="s">
        <v>54</v>
      </c>
      <c r="C436" s="14">
        <v>2001</v>
      </c>
      <c r="D436" t="str">
        <f t="shared" si="12"/>
        <v>yes</v>
      </c>
      <c r="E436">
        <f>COUNTIF($B$8:$B$1006,"Colombia")</f>
        <v>18</v>
      </c>
      <c r="F436" s="23"/>
      <c r="G436" s="3" t="str">
        <f t="shared" si="13"/>
        <v/>
      </c>
      <c r="H436" s="14"/>
    </row>
    <row r="437" spans="1:8" x14ac:dyDescent="0.2">
      <c r="A437" t="s">
        <v>49</v>
      </c>
      <c r="B437" t="s">
        <v>55</v>
      </c>
      <c r="C437" s="14">
        <v>2001</v>
      </c>
      <c r="D437" t="str">
        <f t="shared" si="12"/>
        <v>yes</v>
      </c>
      <c r="E437">
        <f>COUNTIF($B$8:$B$1006,"Costa Rica")</f>
        <v>23</v>
      </c>
      <c r="F437" s="23"/>
      <c r="G437" s="3" t="str">
        <f t="shared" si="13"/>
        <v/>
      </c>
      <c r="H437" s="14"/>
    </row>
    <row r="438" spans="1:8" x14ac:dyDescent="0.2">
      <c r="A438" t="s">
        <v>49</v>
      </c>
      <c r="B438" t="s">
        <v>56</v>
      </c>
      <c r="C438" s="14">
        <v>2001</v>
      </c>
      <c r="D438" t="str">
        <f t="shared" si="12"/>
        <v>yes</v>
      </c>
      <c r="E438">
        <f>COUNTIF($B$8:$B$1006,"Dominican Republic")</f>
        <v>16</v>
      </c>
      <c r="F438" s="23"/>
      <c r="G438" s="3" t="str">
        <f t="shared" si="13"/>
        <v/>
      </c>
      <c r="H438" s="14"/>
    </row>
    <row r="439" spans="1:8" x14ac:dyDescent="0.2">
      <c r="A439" t="s">
        <v>49</v>
      </c>
      <c r="B439" t="s">
        <v>58</v>
      </c>
      <c r="C439" s="14">
        <v>2001</v>
      </c>
      <c r="D439" t="str">
        <f t="shared" si="12"/>
        <v>yes</v>
      </c>
      <c r="E439">
        <f>COUNTIF($B$8:$B$1006,"El Salvador")</f>
        <v>15</v>
      </c>
      <c r="F439" s="23"/>
      <c r="G439" s="3" t="str">
        <f t="shared" si="13"/>
        <v/>
      </c>
      <c r="H439" s="14"/>
    </row>
    <row r="440" spans="1:8" x14ac:dyDescent="0.2">
      <c r="A440" t="s">
        <v>49</v>
      </c>
      <c r="B440" t="s">
        <v>61</v>
      </c>
      <c r="C440" s="14">
        <v>2001</v>
      </c>
      <c r="D440" t="str">
        <f t="shared" si="12"/>
        <v>yes</v>
      </c>
      <c r="E440">
        <f>COUNTIF($B$8:$B$1006,"Haiti")</f>
        <v>1</v>
      </c>
      <c r="F440" s="23"/>
      <c r="G440" s="3">
        <f t="shared" si="13"/>
        <v>1</v>
      </c>
      <c r="H440" s="14" t="s">
        <v>61</v>
      </c>
    </row>
    <row r="441" spans="1:8" x14ac:dyDescent="0.2">
      <c r="A441" t="s">
        <v>49</v>
      </c>
      <c r="B441" t="s">
        <v>62</v>
      </c>
      <c r="C441" s="14">
        <v>2001</v>
      </c>
      <c r="D441" t="str">
        <f t="shared" si="12"/>
        <v>yes</v>
      </c>
      <c r="E441">
        <f>COUNTIF($B$8:$B$1006,"Honduras")</f>
        <v>21</v>
      </c>
      <c r="F441" s="23"/>
      <c r="G441" s="3" t="str">
        <f t="shared" si="13"/>
        <v/>
      </c>
      <c r="H441" s="14"/>
    </row>
    <row r="442" spans="1:8" x14ac:dyDescent="0.2">
      <c r="A442" t="s">
        <v>49</v>
      </c>
      <c r="B442" t="s">
        <v>63</v>
      </c>
      <c r="C442" s="14">
        <v>2001</v>
      </c>
      <c r="D442" t="str">
        <f t="shared" si="12"/>
        <v>yes</v>
      </c>
      <c r="E442">
        <f>COUNTIF($B$8:$B$1006,"Jamaica")</f>
        <v>8</v>
      </c>
      <c r="F442" s="23"/>
      <c r="G442" s="3" t="str">
        <f t="shared" si="13"/>
        <v/>
      </c>
      <c r="H442" s="14"/>
    </row>
    <row r="443" spans="1:8" x14ac:dyDescent="0.2">
      <c r="A443" t="s">
        <v>49</v>
      </c>
      <c r="B443" t="s">
        <v>65</v>
      </c>
      <c r="C443" s="14">
        <v>2001</v>
      </c>
      <c r="D443" t="str">
        <f t="shared" si="12"/>
        <v>yes</v>
      </c>
      <c r="E443">
        <f>COUNTIF($B$8:$B$1006,"Nicaragua")</f>
        <v>4</v>
      </c>
      <c r="F443" s="23"/>
      <c r="G443" s="3" t="str">
        <f t="shared" si="13"/>
        <v/>
      </c>
      <c r="H443" s="14"/>
    </row>
    <row r="444" spans="1:8" x14ac:dyDescent="0.2">
      <c r="A444" t="s">
        <v>49</v>
      </c>
      <c r="B444" t="s">
        <v>66</v>
      </c>
      <c r="C444" s="14">
        <v>2001</v>
      </c>
      <c r="D444" t="str">
        <f t="shared" si="12"/>
        <v>yes</v>
      </c>
      <c r="E444">
        <f>COUNTIF($B$8:$B$1006,"Panama")</f>
        <v>13</v>
      </c>
      <c r="F444" s="23"/>
      <c r="G444" s="3" t="str">
        <f t="shared" si="13"/>
        <v/>
      </c>
      <c r="H444" s="14"/>
    </row>
    <row r="445" spans="1:8" x14ac:dyDescent="0.2">
      <c r="A445" t="s">
        <v>49</v>
      </c>
      <c r="B445" t="s">
        <v>67</v>
      </c>
      <c r="C445" s="14">
        <v>2001</v>
      </c>
      <c r="D445" t="str">
        <f t="shared" si="12"/>
        <v>yes</v>
      </c>
      <c r="E445">
        <f>COUNTIF($B$8:$B$1006,"Paraguay")</f>
        <v>14</v>
      </c>
      <c r="F445" s="23"/>
      <c r="G445" s="3" t="str">
        <f t="shared" si="13"/>
        <v/>
      </c>
      <c r="H445" s="14"/>
    </row>
    <row r="446" spans="1:8" x14ac:dyDescent="0.2">
      <c r="A446" t="s">
        <v>49</v>
      </c>
      <c r="B446" t="s">
        <v>68</v>
      </c>
      <c r="C446" s="14">
        <v>2001</v>
      </c>
      <c r="D446" t="str">
        <f t="shared" si="12"/>
        <v>yes</v>
      </c>
      <c r="E446">
        <f>COUNTIF($B$8:$B$1006,"Peru")</f>
        <v>16</v>
      </c>
      <c r="F446" s="23"/>
      <c r="G446" s="3" t="str">
        <f t="shared" si="13"/>
        <v/>
      </c>
      <c r="H446" s="14"/>
    </row>
    <row r="447" spans="1:8" x14ac:dyDescent="0.2">
      <c r="A447" t="s">
        <v>49</v>
      </c>
      <c r="B447" t="s">
        <v>72</v>
      </c>
      <c r="C447" s="14">
        <v>2001</v>
      </c>
      <c r="D447" t="str">
        <f t="shared" si="12"/>
        <v>yes</v>
      </c>
      <c r="E447">
        <f>COUNTIF($B$8:$B$1006,"Uruguay")</f>
        <v>18</v>
      </c>
      <c r="F447" s="23"/>
      <c r="G447" s="3" t="str">
        <f t="shared" si="13"/>
        <v/>
      </c>
      <c r="H447" s="14"/>
    </row>
    <row r="448" spans="1:8" x14ac:dyDescent="0.2">
      <c r="A448" t="s">
        <v>49</v>
      </c>
      <c r="B448" t="s">
        <v>73</v>
      </c>
      <c r="C448" s="14">
        <v>2001</v>
      </c>
      <c r="D448" t="str">
        <f t="shared" si="12"/>
        <v>yes</v>
      </c>
      <c r="E448">
        <f>COUNTIF($B$8:$B$1006,"Venezuela")</f>
        <v>13</v>
      </c>
      <c r="F448" s="23"/>
      <c r="G448" s="3" t="str">
        <f t="shared" si="13"/>
        <v/>
      </c>
      <c r="H448" s="14"/>
    </row>
    <row r="449" spans="1:8" x14ac:dyDescent="0.2">
      <c r="A449" t="s">
        <v>74</v>
      </c>
      <c r="B449" t="s">
        <v>81</v>
      </c>
      <c r="C449" s="14">
        <v>2001</v>
      </c>
      <c r="D449" t="str">
        <f t="shared" si="12"/>
        <v>yes</v>
      </c>
      <c r="E449">
        <f>COUNTIF($B$8:$B$1006,"Morocco")</f>
        <v>5</v>
      </c>
      <c r="F449" s="23"/>
      <c r="G449" s="3" t="str">
        <f t="shared" si="13"/>
        <v/>
      </c>
      <c r="H449" s="14"/>
    </row>
    <row r="450" spans="1:8" x14ac:dyDescent="0.2">
      <c r="A450" t="s">
        <v>95</v>
      </c>
      <c r="B450" t="s">
        <v>100</v>
      </c>
      <c r="C450" s="14">
        <v>2001</v>
      </c>
      <c r="D450" t="str">
        <f t="shared" si="12"/>
        <v>yes</v>
      </c>
      <c r="E450">
        <f>COUNTIF($B$8:$B$1006,"Cameroon")</f>
        <v>3</v>
      </c>
      <c r="F450" s="23"/>
      <c r="G450" s="3" t="str">
        <f t="shared" si="13"/>
        <v/>
      </c>
      <c r="H450" s="14"/>
    </row>
    <row r="451" spans="1:8" x14ac:dyDescent="0.2">
      <c r="A451" t="s">
        <v>95</v>
      </c>
      <c r="B451" t="s">
        <v>101</v>
      </c>
      <c r="C451" s="14">
        <v>2001</v>
      </c>
      <c r="D451" t="str">
        <f t="shared" si="12"/>
        <v>yes</v>
      </c>
      <c r="E451">
        <f>COUNTIF($B$8:$B$1006,"Cape Verde")</f>
        <v>1</v>
      </c>
      <c r="F451" s="23"/>
      <c r="G451" s="3">
        <f t="shared" si="13"/>
        <v>1</v>
      </c>
      <c r="H451" s="14" t="s">
        <v>101</v>
      </c>
    </row>
    <row r="452" spans="1:8" x14ac:dyDescent="0.2">
      <c r="A452" t="s">
        <v>95</v>
      </c>
      <c r="B452" t="s">
        <v>117</v>
      </c>
      <c r="C452" s="14">
        <v>2001</v>
      </c>
      <c r="D452" t="str">
        <f t="shared" si="12"/>
        <v>yes</v>
      </c>
      <c r="E452">
        <f>COUNTIF($B$8:$B$1006,"Madagascar")</f>
        <v>7</v>
      </c>
      <c r="F452" s="23"/>
      <c r="G452" s="3" t="str">
        <f t="shared" si="13"/>
        <v/>
      </c>
      <c r="H452" s="14"/>
    </row>
    <row r="453" spans="1:8" x14ac:dyDescent="0.2">
      <c r="A453" t="s">
        <v>95</v>
      </c>
      <c r="B453" t="s">
        <v>119</v>
      </c>
      <c r="C453" s="14">
        <v>2001</v>
      </c>
      <c r="D453" t="str">
        <f t="shared" si="12"/>
        <v>yes</v>
      </c>
      <c r="E453">
        <f>COUNTIF($B$8:$B$1006,"Mali")</f>
        <v>4</v>
      </c>
      <c r="F453" s="23"/>
      <c r="G453" s="3" t="str">
        <f t="shared" si="13"/>
        <v/>
      </c>
      <c r="H453" s="14"/>
    </row>
    <row r="454" spans="1:8" x14ac:dyDescent="0.2">
      <c r="A454" t="s">
        <v>95</v>
      </c>
      <c r="B454" t="s">
        <v>126</v>
      </c>
      <c r="C454" s="14">
        <v>2001</v>
      </c>
      <c r="D454" t="str">
        <f t="shared" si="12"/>
        <v>yes</v>
      </c>
      <c r="E454">
        <f>COUNTIF($B$8:$B$1006,"Sao Tome and Principe")</f>
        <v>1</v>
      </c>
      <c r="F454" s="23"/>
      <c r="G454" s="3">
        <f t="shared" si="13"/>
        <v>1</v>
      </c>
      <c r="H454" s="14" t="s">
        <v>126</v>
      </c>
    </row>
    <row r="455" spans="1:8" x14ac:dyDescent="0.2">
      <c r="A455" t="s">
        <v>95</v>
      </c>
      <c r="B455" t="s">
        <v>127</v>
      </c>
      <c r="C455" s="14">
        <v>2001</v>
      </c>
      <c r="D455" t="str">
        <f t="shared" si="12"/>
        <v>yes</v>
      </c>
      <c r="E455">
        <f>COUNTIF($B$8:$B$1006,"Senegal")</f>
        <v>4</v>
      </c>
      <c r="F455" s="23"/>
      <c r="G455" s="3" t="str">
        <f t="shared" si="13"/>
        <v/>
      </c>
      <c r="H455" s="14"/>
    </row>
    <row r="456" spans="1:8" x14ac:dyDescent="0.2">
      <c r="A456" t="s">
        <v>95</v>
      </c>
      <c r="B456" t="s">
        <v>132</v>
      </c>
      <c r="C456" s="14">
        <v>2001</v>
      </c>
      <c r="D456" t="str">
        <f t="shared" ref="D456:D519" si="14">IF(F456="LSMS","no","yes")</f>
        <v>yes</v>
      </c>
      <c r="E456">
        <f>COUNTIF($B$8:$B$1006,"Swaziland")</f>
        <v>3</v>
      </c>
      <c r="F456" s="23"/>
      <c r="G456" s="3" t="str">
        <f t="shared" ref="G456:G519" si="15">IF(H456="","",1)</f>
        <v/>
      </c>
      <c r="H456" s="14"/>
    </row>
    <row r="457" spans="1:8" x14ac:dyDescent="0.2">
      <c r="A457" t="s">
        <v>4</v>
      </c>
      <c r="B457" t="s">
        <v>7</v>
      </c>
      <c r="C457" s="14">
        <v>2002</v>
      </c>
      <c r="D457" t="str">
        <f t="shared" si="14"/>
        <v>yes</v>
      </c>
      <c r="E457">
        <f>COUNTIF($B$8:$B$1006,"China")</f>
        <v>17</v>
      </c>
      <c r="F457" s="23"/>
      <c r="G457" s="3" t="str">
        <f t="shared" si="15"/>
        <v/>
      </c>
      <c r="H457" s="14"/>
    </row>
    <row r="458" spans="1:8" x14ac:dyDescent="0.2">
      <c r="A458" t="s">
        <v>4</v>
      </c>
      <c r="B458" t="s">
        <v>10</v>
      </c>
      <c r="C458" s="14">
        <v>2002</v>
      </c>
      <c r="D458" t="str">
        <f t="shared" si="14"/>
        <v>yes</v>
      </c>
      <c r="E458">
        <f>COUNTIF($B$8:$B$1006,"Indonesia")</f>
        <v>14</v>
      </c>
      <c r="F458" s="23"/>
      <c r="G458" s="3" t="str">
        <f t="shared" si="15"/>
        <v/>
      </c>
      <c r="H458" s="14"/>
    </row>
    <row r="459" spans="1:8" x14ac:dyDescent="0.2">
      <c r="A459" t="s">
        <v>4</v>
      </c>
      <c r="B459" t="s">
        <v>11</v>
      </c>
      <c r="C459" s="14">
        <v>2002</v>
      </c>
      <c r="D459" t="str">
        <f t="shared" si="14"/>
        <v>yes</v>
      </c>
      <c r="E459">
        <f>COUNTIF($B$8:$B$1006,"Lao PDR")</f>
        <v>4</v>
      </c>
      <c r="F459" s="23"/>
      <c r="G459" s="3" t="str">
        <f t="shared" si="15"/>
        <v/>
      </c>
      <c r="H459" s="14"/>
    </row>
    <row r="460" spans="1:8" x14ac:dyDescent="0.2">
      <c r="A460" t="s">
        <v>4</v>
      </c>
      <c r="B460" t="s">
        <v>16</v>
      </c>
      <c r="C460" s="14">
        <v>2002</v>
      </c>
      <c r="D460" t="str">
        <f t="shared" si="14"/>
        <v>yes</v>
      </c>
      <c r="E460">
        <f>COUNTIF($B$8:$B$1006,"Thailand")</f>
        <v>13</v>
      </c>
      <c r="F460" s="23"/>
      <c r="G460" s="3" t="str">
        <f t="shared" si="15"/>
        <v/>
      </c>
      <c r="H460" s="14"/>
    </row>
    <row r="461" spans="1:8" x14ac:dyDescent="0.2">
      <c r="A461" t="s">
        <v>4</v>
      </c>
      <c r="B461" t="s">
        <v>18</v>
      </c>
      <c r="C461" s="14">
        <v>2002</v>
      </c>
      <c r="D461" t="str">
        <f t="shared" si="14"/>
        <v>yes</v>
      </c>
      <c r="E461">
        <f>COUNTIF($B$8:$B$1006,"Vietnam")</f>
        <v>6</v>
      </c>
      <c r="F461" s="23"/>
      <c r="G461" s="3" t="str">
        <f t="shared" si="15"/>
        <v/>
      </c>
      <c r="H461" s="14"/>
    </row>
    <row r="462" spans="1:8" x14ac:dyDescent="0.2">
      <c r="A462" t="s">
        <v>19</v>
      </c>
      <c r="B462" t="s">
        <v>20</v>
      </c>
      <c r="C462" s="14">
        <v>2002</v>
      </c>
      <c r="D462" t="str">
        <f t="shared" si="14"/>
        <v>yes</v>
      </c>
      <c r="E462">
        <f>COUNTIF($B$8:$B$1006,"Albania")</f>
        <v>5</v>
      </c>
      <c r="F462" s="23"/>
      <c r="G462" s="3" t="str">
        <f t="shared" si="15"/>
        <v/>
      </c>
      <c r="H462" s="14"/>
    </row>
    <row r="463" spans="1:8" x14ac:dyDescent="0.2">
      <c r="A463" t="s">
        <v>19</v>
      </c>
      <c r="B463" t="s">
        <v>21</v>
      </c>
      <c r="C463" s="14">
        <v>2002</v>
      </c>
      <c r="D463" t="str">
        <f t="shared" si="14"/>
        <v>yes</v>
      </c>
      <c r="E463">
        <f>COUNTIF($B$8:$B$1006,"Armenia")</f>
        <v>10</v>
      </c>
      <c r="F463" s="23"/>
      <c r="G463" s="3" t="str">
        <f t="shared" si="15"/>
        <v/>
      </c>
      <c r="H463" s="14"/>
    </row>
    <row r="464" spans="1:8" x14ac:dyDescent="0.2">
      <c r="A464" t="s">
        <v>19</v>
      </c>
      <c r="B464" t="s">
        <v>23</v>
      </c>
      <c r="C464" s="14">
        <v>2002</v>
      </c>
      <c r="D464" t="str">
        <f t="shared" si="14"/>
        <v>yes</v>
      </c>
      <c r="E464">
        <f>COUNTIF($B$8:$B$1006,"Belarus")</f>
        <v>12</v>
      </c>
      <c r="F464" s="23"/>
      <c r="G464" s="3" t="str">
        <f t="shared" si="15"/>
        <v/>
      </c>
      <c r="H464" s="14"/>
    </row>
    <row r="465" spans="1:8" x14ac:dyDescent="0.2">
      <c r="A465" t="s">
        <v>19</v>
      </c>
      <c r="B465" t="s">
        <v>28</v>
      </c>
      <c r="C465" s="14">
        <v>2002</v>
      </c>
      <c r="D465" t="str">
        <f t="shared" si="14"/>
        <v>yes</v>
      </c>
      <c r="E465">
        <f>COUNTIF($B$8:$B$1006,"Estonia")</f>
        <v>9</v>
      </c>
      <c r="F465" s="23"/>
      <c r="G465" s="3" t="str">
        <f t="shared" si="15"/>
        <v/>
      </c>
      <c r="H465" s="14"/>
    </row>
    <row r="466" spans="1:8" x14ac:dyDescent="0.2">
      <c r="A466" t="s">
        <v>19</v>
      </c>
      <c r="B466" t="s">
        <v>29</v>
      </c>
      <c r="C466" s="14">
        <v>2002</v>
      </c>
      <c r="D466" t="str">
        <f t="shared" si="14"/>
        <v>yes</v>
      </c>
      <c r="E466">
        <f>COUNTIF($B$8:$B$1006,"Georgia")</f>
        <v>12</v>
      </c>
      <c r="F466" s="23"/>
      <c r="G466" s="3" t="str">
        <f t="shared" si="15"/>
        <v/>
      </c>
      <c r="H466" s="14"/>
    </row>
    <row r="467" spans="1:8" x14ac:dyDescent="0.2">
      <c r="A467" t="s">
        <v>19</v>
      </c>
      <c r="B467" t="s">
        <v>30</v>
      </c>
      <c r="C467" s="14">
        <v>2002</v>
      </c>
      <c r="D467" t="str">
        <f t="shared" si="14"/>
        <v>yes</v>
      </c>
      <c r="E467">
        <f>COUNTIF($B$8:$B$1006,"Hungary")</f>
        <v>10</v>
      </c>
      <c r="F467" s="23"/>
      <c r="G467" s="3" t="str">
        <f t="shared" si="15"/>
        <v/>
      </c>
      <c r="H467" s="14"/>
    </row>
    <row r="468" spans="1:8" x14ac:dyDescent="0.2">
      <c r="A468" t="s">
        <v>19</v>
      </c>
      <c r="B468" t="s">
        <v>31</v>
      </c>
      <c r="C468" s="14">
        <v>2002</v>
      </c>
      <c r="D468" t="str">
        <f t="shared" si="14"/>
        <v>yes</v>
      </c>
      <c r="E468">
        <f>COUNTIF($B$8:$B$1006,"Kazakhstan")</f>
        <v>11</v>
      </c>
      <c r="F468" s="23"/>
      <c r="G468" s="3" t="str">
        <f t="shared" si="15"/>
        <v/>
      </c>
      <c r="H468" s="14"/>
    </row>
    <row r="469" spans="1:8" x14ac:dyDescent="0.2">
      <c r="A469" t="s">
        <v>19</v>
      </c>
      <c r="B469" t="s">
        <v>32</v>
      </c>
      <c r="C469" s="14">
        <v>2002</v>
      </c>
      <c r="D469" t="str">
        <f t="shared" si="14"/>
        <v>yes</v>
      </c>
      <c r="E469">
        <f>COUNTIF($B$8:$B$1006,"Kyrgyz Republic")</f>
        <v>10</v>
      </c>
      <c r="F469" s="23"/>
      <c r="G469" s="3" t="str">
        <f t="shared" si="15"/>
        <v/>
      </c>
      <c r="H469" s="14"/>
    </row>
    <row r="470" spans="1:8" x14ac:dyDescent="0.2">
      <c r="A470" t="s">
        <v>19</v>
      </c>
      <c r="B470" t="s">
        <v>33</v>
      </c>
      <c r="C470" s="14">
        <v>2002</v>
      </c>
      <c r="D470" t="str">
        <f t="shared" si="14"/>
        <v>yes</v>
      </c>
      <c r="E470">
        <f>COUNTIF($B$8:$B$1006,"Latvia")</f>
        <v>11</v>
      </c>
      <c r="F470" s="23"/>
      <c r="G470" s="3" t="str">
        <f t="shared" si="15"/>
        <v/>
      </c>
      <c r="H470" s="14"/>
    </row>
    <row r="471" spans="1:8" x14ac:dyDescent="0.2">
      <c r="A471" t="s">
        <v>19</v>
      </c>
      <c r="B471" t="s">
        <v>34</v>
      </c>
      <c r="C471" s="14">
        <v>2002</v>
      </c>
      <c r="D471" t="str">
        <f t="shared" si="14"/>
        <v>yes</v>
      </c>
      <c r="E471">
        <f>COUNTIF($B$8:$B$1006,"Lithuania")</f>
        <v>9</v>
      </c>
      <c r="F471" s="23"/>
      <c r="G471" s="3" t="str">
        <f t="shared" si="15"/>
        <v/>
      </c>
      <c r="H471" s="14"/>
    </row>
    <row r="472" spans="1:8" x14ac:dyDescent="0.2">
      <c r="A472" t="s">
        <v>19</v>
      </c>
      <c r="B472" t="s">
        <v>35</v>
      </c>
      <c r="C472" s="14">
        <v>2002</v>
      </c>
      <c r="D472" t="str">
        <f t="shared" si="14"/>
        <v>yes</v>
      </c>
      <c r="E472">
        <f>COUNTIF($B$8:$B$1006,"Macedonia")</f>
        <v>9</v>
      </c>
      <c r="F472" s="23"/>
      <c r="G472" s="3" t="str">
        <f t="shared" si="15"/>
        <v/>
      </c>
      <c r="H472" s="14"/>
    </row>
    <row r="473" spans="1:8" x14ac:dyDescent="0.2">
      <c r="A473" t="s">
        <v>19</v>
      </c>
      <c r="B473" t="s">
        <v>36</v>
      </c>
      <c r="C473" s="14">
        <v>2002</v>
      </c>
      <c r="D473" t="str">
        <f t="shared" si="14"/>
        <v>yes</v>
      </c>
      <c r="E473">
        <f>COUNTIF($B$8:$B$1006,"Moldova")</f>
        <v>15</v>
      </c>
      <c r="F473" s="23"/>
      <c r="G473" s="3" t="str">
        <f t="shared" si="15"/>
        <v/>
      </c>
      <c r="H473" s="14"/>
    </row>
    <row r="474" spans="1:8" x14ac:dyDescent="0.2">
      <c r="A474" t="s">
        <v>19</v>
      </c>
      <c r="B474" t="s">
        <v>38</v>
      </c>
      <c r="C474" s="14">
        <v>2002</v>
      </c>
      <c r="D474" t="str">
        <f t="shared" si="14"/>
        <v>yes</v>
      </c>
      <c r="E474">
        <f>COUNTIF($B$8:$B$1006,"Poland")</f>
        <v>17</v>
      </c>
      <c r="F474" s="23"/>
      <c r="G474" s="3" t="str">
        <f t="shared" si="15"/>
        <v/>
      </c>
      <c r="H474" s="14"/>
    </row>
    <row r="475" spans="1:8" x14ac:dyDescent="0.2">
      <c r="A475" t="s">
        <v>19</v>
      </c>
      <c r="B475" t="s">
        <v>39</v>
      </c>
      <c r="C475" s="14">
        <v>2002</v>
      </c>
      <c r="D475" t="str">
        <f t="shared" si="14"/>
        <v>yes</v>
      </c>
      <c r="E475">
        <f>COUNTIF($B$8:$B$1006,"Romania")</f>
        <v>14</v>
      </c>
      <c r="F475" s="23"/>
      <c r="G475" s="3" t="str">
        <f t="shared" si="15"/>
        <v/>
      </c>
      <c r="H475" s="14"/>
    </row>
    <row r="476" spans="1:8" x14ac:dyDescent="0.2">
      <c r="A476" t="s">
        <v>19</v>
      </c>
      <c r="B476" t="s">
        <v>40</v>
      </c>
      <c r="C476" s="14">
        <v>2002</v>
      </c>
      <c r="D476" t="str">
        <f t="shared" si="14"/>
        <v>yes</v>
      </c>
      <c r="E476">
        <f>COUNTIF($B$8:$B$1006,"Russian Federation")</f>
        <v>13</v>
      </c>
      <c r="F476" s="23"/>
      <c r="G476" s="3" t="str">
        <f t="shared" si="15"/>
        <v/>
      </c>
      <c r="H476" s="14"/>
    </row>
    <row r="477" spans="1:8" x14ac:dyDescent="0.2">
      <c r="A477" t="s">
        <v>19</v>
      </c>
      <c r="B477" t="s">
        <v>41</v>
      </c>
      <c r="C477" s="14">
        <v>2002</v>
      </c>
      <c r="D477" t="str">
        <f t="shared" si="14"/>
        <v>yes</v>
      </c>
      <c r="E477">
        <f>COUNTIF($B$8:$B$1006,"Serbia")</f>
        <v>8</v>
      </c>
      <c r="F477" s="23"/>
      <c r="G477" s="3">
        <f t="shared" si="15"/>
        <v>1</v>
      </c>
      <c r="H477" s="14" t="s">
        <v>41</v>
      </c>
    </row>
    <row r="478" spans="1:8" x14ac:dyDescent="0.2">
      <c r="A478" t="s">
        <v>19</v>
      </c>
      <c r="B478" t="s">
        <v>44</v>
      </c>
      <c r="C478" s="14">
        <v>2002</v>
      </c>
      <c r="D478" t="str">
        <f t="shared" si="14"/>
        <v>yes</v>
      </c>
      <c r="E478">
        <f>COUNTIF($B$8:$B$1006,"Slovenia")</f>
        <v>6</v>
      </c>
      <c r="F478" s="23"/>
      <c r="G478" s="3">
        <f t="shared" si="15"/>
        <v>1</v>
      </c>
      <c r="H478" s="14" t="s">
        <v>76</v>
      </c>
    </row>
    <row r="479" spans="1:8" x14ac:dyDescent="0.2">
      <c r="A479" t="s">
        <v>19</v>
      </c>
      <c r="B479" t="s">
        <v>45</v>
      </c>
      <c r="C479" s="14">
        <v>2002</v>
      </c>
      <c r="D479" t="str">
        <f t="shared" si="14"/>
        <v>yes</v>
      </c>
      <c r="E479">
        <f>COUNTIF($B$8:$B$1006,"Turkey")</f>
        <v>9</v>
      </c>
      <c r="F479" s="23"/>
      <c r="G479" s="3">
        <f t="shared" si="15"/>
        <v>1</v>
      </c>
      <c r="H479" s="14" t="s">
        <v>103</v>
      </c>
    </row>
    <row r="480" spans="1:8" x14ac:dyDescent="0.2">
      <c r="A480" t="s">
        <v>19</v>
      </c>
      <c r="B480" t="s">
        <v>47</v>
      </c>
      <c r="C480" s="14">
        <v>2002</v>
      </c>
      <c r="D480" t="str">
        <f t="shared" si="14"/>
        <v>yes</v>
      </c>
      <c r="E480">
        <f>COUNTIF($B$8:$B$1006,"Ukraine")</f>
        <v>13</v>
      </c>
      <c r="F480" s="23"/>
      <c r="G480" s="3">
        <f t="shared" si="15"/>
        <v>1</v>
      </c>
      <c r="H480" s="14" t="s">
        <v>9</v>
      </c>
    </row>
    <row r="481" spans="1:8" x14ac:dyDescent="0.2">
      <c r="A481" t="s">
        <v>49</v>
      </c>
      <c r="B481" t="s">
        <v>48</v>
      </c>
      <c r="C481" s="14">
        <v>2002</v>
      </c>
      <c r="D481" t="str">
        <f t="shared" si="14"/>
        <v>yes</v>
      </c>
      <c r="E481">
        <f>COUNTIF($B$8:$B$1006,"Argentina")</f>
        <v>22</v>
      </c>
      <c r="F481" s="23"/>
      <c r="G481" s="3">
        <f t="shared" si="15"/>
        <v>1</v>
      </c>
      <c r="H481" s="14" t="s">
        <v>88</v>
      </c>
    </row>
    <row r="482" spans="1:8" x14ac:dyDescent="0.2">
      <c r="A482" t="s">
        <v>49</v>
      </c>
      <c r="B482" t="s">
        <v>51</v>
      </c>
      <c r="C482" s="14">
        <v>2002</v>
      </c>
      <c r="D482" t="str">
        <f t="shared" si="14"/>
        <v>yes</v>
      </c>
      <c r="E482">
        <f>COUNTIF($B$8:$B$1006,"Bolivia")</f>
        <v>11</v>
      </c>
      <c r="F482" s="23"/>
      <c r="G482" s="3">
        <f t="shared" si="15"/>
        <v>1</v>
      </c>
      <c r="H482" s="14" t="s">
        <v>96</v>
      </c>
    </row>
    <row r="483" spans="1:8" x14ac:dyDescent="0.2">
      <c r="A483" t="s">
        <v>49</v>
      </c>
      <c r="B483" t="s">
        <v>52</v>
      </c>
      <c r="C483" s="14">
        <v>2002</v>
      </c>
      <c r="D483" t="str">
        <f t="shared" si="14"/>
        <v>yes</v>
      </c>
      <c r="E483">
        <f>COUNTIF($B$8:$B$1006,"Brazil")</f>
        <v>26</v>
      </c>
      <c r="F483" s="23"/>
      <c r="G483" s="3">
        <f t="shared" si="15"/>
        <v>1</v>
      </c>
      <c r="H483" s="14" t="s">
        <v>82</v>
      </c>
    </row>
    <row r="484" spans="1:8" x14ac:dyDescent="0.2">
      <c r="A484" t="s">
        <v>49</v>
      </c>
      <c r="B484" t="s">
        <v>54</v>
      </c>
      <c r="C484" s="14">
        <v>2002</v>
      </c>
      <c r="D484" t="str">
        <f t="shared" si="14"/>
        <v>yes</v>
      </c>
      <c r="E484">
        <f>COUNTIF($B$8:$B$1006,"Colombia")</f>
        <v>18</v>
      </c>
      <c r="F484" s="23"/>
      <c r="G484" s="3">
        <f t="shared" si="15"/>
        <v>1</v>
      </c>
      <c r="H484" s="14" t="s">
        <v>104</v>
      </c>
    </row>
    <row r="485" spans="1:8" x14ac:dyDescent="0.2">
      <c r="A485" t="s">
        <v>49</v>
      </c>
      <c r="B485" t="s">
        <v>55</v>
      </c>
      <c r="C485" s="14">
        <v>2002</v>
      </c>
      <c r="D485" t="str">
        <f t="shared" si="14"/>
        <v>yes</v>
      </c>
      <c r="E485">
        <f>COUNTIF($B$8:$B$1006,"Costa Rica")</f>
        <v>23</v>
      </c>
      <c r="F485" s="23"/>
      <c r="G485" s="3">
        <f t="shared" si="15"/>
        <v>1</v>
      </c>
      <c r="H485" s="14" t="s">
        <v>37</v>
      </c>
    </row>
    <row r="486" spans="1:8" x14ac:dyDescent="0.2">
      <c r="A486" t="s">
        <v>49</v>
      </c>
      <c r="B486" t="s">
        <v>56</v>
      </c>
      <c r="C486" s="14">
        <v>2002</v>
      </c>
      <c r="D486" t="str">
        <f t="shared" si="14"/>
        <v>yes</v>
      </c>
      <c r="E486">
        <f>COUNTIF($B$8:$B$1006,"Dominican Republic")</f>
        <v>16</v>
      </c>
      <c r="F486" s="23"/>
      <c r="G486" s="3">
        <f t="shared" si="15"/>
        <v>1</v>
      </c>
      <c r="H486" s="14" t="s">
        <v>105</v>
      </c>
    </row>
    <row r="487" spans="1:8" x14ac:dyDescent="0.2">
      <c r="A487" t="s">
        <v>49</v>
      </c>
      <c r="B487" t="s">
        <v>58</v>
      </c>
      <c r="C487" s="14">
        <v>2002</v>
      </c>
      <c r="D487" t="str">
        <f t="shared" si="14"/>
        <v>yes</v>
      </c>
      <c r="E487">
        <f>COUNTIF($B$8:$B$1006,"El Salvador")</f>
        <v>15</v>
      </c>
      <c r="F487" s="23"/>
      <c r="G487" s="3">
        <f t="shared" si="15"/>
        <v>1</v>
      </c>
      <c r="H487" s="14" t="s">
        <v>106</v>
      </c>
    </row>
    <row r="488" spans="1:8" x14ac:dyDescent="0.2">
      <c r="A488" t="s">
        <v>49</v>
      </c>
      <c r="B488" t="s">
        <v>59</v>
      </c>
      <c r="C488" s="14">
        <v>2002</v>
      </c>
      <c r="D488" t="str">
        <f t="shared" si="14"/>
        <v>yes</v>
      </c>
      <c r="E488">
        <f>COUNTIF($B$8:$B$1006,"Guatemala")</f>
        <v>8</v>
      </c>
      <c r="F488" s="23"/>
      <c r="G488" s="3">
        <f t="shared" si="15"/>
        <v>1</v>
      </c>
      <c r="H488" s="14" t="s">
        <v>109</v>
      </c>
    </row>
    <row r="489" spans="1:8" x14ac:dyDescent="0.2">
      <c r="A489" t="s">
        <v>49</v>
      </c>
      <c r="B489" t="s">
        <v>62</v>
      </c>
      <c r="C489" s="14">
        <v>2002</v>
      </c>
      <c r="D489" t="str">
        <f t="shared" si="14"/>
        <v>yes</v>
      </c>
      <c r="E489">
        <f>COUNTIF($B$8:$B$1006,"Honduras")</f>
        <v>21</v>
      </c>
      <c r="F489" s="23"/>
      <c r="G489" s="3">
        <f t="shared" si="15"/>
        <v>1</v>
      </c>
      <c r="H489" s="14" t="s">
        <v>79</v>
      </c>
    </row>
    <row r="490" spans="1:8" x14ac:dyDescent="0.2">
      <c r="A490" t="s">
        <v>49</v>
      </c>
      <c r="B490" t="s">
        <v>63</v>
      </c>
      <c r="C490" s="14">
        <v>2002</v>
      </c>
      <c r="D490" t="str">
        <f t="shared" si="14"/>
        <v>yes</v>
      </c>
      <c r="E490">
        <f>COUNTIF($B$8:$B$1006,"Jamaica")</f>
        <v>8</v>
      </c>
      <c r="F490" s="23"/>
      <c r="G490" s="3">
        <f t="shared" si="15"/>
        <v>1</v>
      </c>
      <c r="H490" s="14" t="s">
        <v>134</v>
      </c>
    </row>
    <row r="491" spans="1:8" x14ac:dyDescent="0.2">
      <c r="A491" t="s">
        <v>49</v>
      </c>
      <c r="B491" t="s">
        <v>64</v>
      </c>
      <c r="C491" s="14">
        <v>2002</v>
      </c>
      <c r="D491" t="str">
        <f t="shared" si="14"/>
        <v>yes</v>
      </c>
      <c r="E491">
        <f>COUNTIF($B$8:$B$1006,"Mexico")</f>
        <v>13</v>
      </c>
      <c r="F491" s="23"/>
      <c r="G491" s="3">
        <f t="shared" si="15"/>
        <v>1</v>
      </c>
      <c r="H491" s="14" t="s">
        <v>84</v>
      </c>
    </row>
    <row r="492" spans="1:8" x14ac:dyDescent="0.2">
      <c r="A492" t="s">
        <v>49</v>
      </c>
      <c r="B492" t="s">
        <v>66</v>
      </c>
      <c r="C492" s="14">
        <v>2002</v>
      </c>
      <c r="D492" t="str">
        <f t="shared" si="14"/>
        <v>yes</v>
      </c>
      <c r="E492">
        <f>COUNTIF($B$8:$B$1006,"Panama")</f>
        <v>13</v>
      </c>
      <c r="F492" s="23"/>
      <c r="G492" s="3">
        <f t="shared" si="15"/>
        <v>1</v>
      </c>
      <c r="H492" s="14" t="s">
        <v>116</v>
      </c>
    </row>
    <row r="493" spans="1:8" x14ac:dyDescent="0.2">
      <c r="A493" t="s">
        <v>49</v>
      </c>
      <c r="B493" t="s">
        <v>67</v>
      </c>
      <c r="C493" s="14">
        <v>2002</v>
      </c>
      <c r="D493" t="str">
        <f t="shared" si="14"/>
        <v>yes</v>
      </c>
      <c r="E493">
        <f>COUNTIF($B$8:$B$1006,"Paraguay")</f>
        <v>14</v>
      </c>
      <c r="F493" s="23"/>
      <c r="G493" s="3">
        <f t="shared" si="15"/>
        <v>1</v>
      </c>
      <c r="H493" s="14" t="s">
        <v>131</v>
      </c>
    </row>
    <row r="494" spans="1:8" x14ac:dyDescent="0.2">
      <c r="A494" t="s">
        <v>49</v>
      </c>
      <c r="B494" t="s">
        <v>68</v>
      </c>
      <c r="C494" s="14">
        <v>2002</v>
      </c>
      <c r="D494" t="str">
        <f t="shared" si="14"/>
        <v>yes</v>
      </c>
      <c r="E494">
        <f>COUNTIF($B$8:$B$1006,"Peru")</f>
        <v>16</v>
      </c>
      <c r="F494" s="23"/>
      <c r="G494" s="3" t="str">
        <f t="shared" si="15"/>
        <v/>
      </c>
      <c r="H494" s="14"/>
    </row>
    <row r="495" spans="1:8" x14ac:dyDescent="0.2">
      <c r="A495" t="s">
        <v>49</v>
      </c>
      <c r="B495" t="s">
        <v>72</v>
      </c>
      <c r="C495" s="14">
        <v>2002</v>
      </c>
      <c r="D495" t="str">
        <f t="shared" si="14"/>
        <v>yes</v>
      </c>
      <c r="E495">
        <f>COUNTIF($B$8:$B$1006,"Uruguay")</f>
        <v>18</v>
      </c>
      <c r="F495" s="23"/>
      <c r="G495" s="3" t="str">
        <f t="shared" si="15"/>
        <v/>
      </c>
      <c r="H495" s="14"/>
    </row>
    <row r="496" spans="1:8" x14ac:dyDescent="0.2">
      <c r="A496" t="s">
        <v>49</v>
      </c>
      <c r="B496" t="s">
        <v>73</v>
      </c>
      <c r="C496" s="14">
        <v>2002</v>
      </c>
      <c r="D496" t="str">
        <f t="shared" si="14"/>
        <v>yes</v>
      </c>
      <c r="E496">
        <f>COUNTIF($B$8:$B$1006,"Venezuela")</f>
        <v>13</v>
      </c>
      <c r="F496" s="23"/>
      <c r="G496" s="3" t="str">
        <f t="shared" si="15"/>
        <v/>
      </c>
      <c r="H496" s="14"/>
    </row>
    <row r="497" spans="1:8" x14ac:dyDescent="0.2">
      <c r="A497" t="s">
        <v>74</v>
      </c>
      <c r="B497" t="s">
        <v>76</v>
      </c>
      <c r="C497" s="14">
        <v>2002</v>
      </c>
      <c r="D497" t="str">
        <f t="shared" si="14"/>
        <v>yes</v>
      </c>
      <c r="E497">
        <f>COUNTIF($B$8:$B$1006,"Djibouti")</f>
        <v>1</v>
      </c>
      <c r="F497" s="23"/>
      <c r="G497" s="3">
        <f t="shared" si="15"/>
        <v>1</v>
      </c>
      <c r="H497" s="14" t="s">
        <v>76</v>
      </c>
    </row>
    <row r="498" spans="1:8" x14ac:dyDescent="0.2">
      <c r="A498" t="s">
        <v>87</v>
      </c>
      <c r="B498" t="s">
        <v>92</v>
      </c>
      <c r="C498" s="14">
        <v>2002</v>
      </c>
      <c r="D498" t="str">
        <f t="shared" si="14"/>
        <v>yes</v>
      </c>
      <c r="E498">
        <f>COUNTIF($B$8:$B$1006,"Pakistan")</f>
        <v>8</v>
      </c>
      <c r="F498" s="23"/>
      <c r="G498" s="3" t="str">
        <f t="shared" si="15"/>
        <v/>
      </c>
      <c r="H498" s="14"/>
    </row>
    <row r="499" spans="1:8" x14ac:dyDescent="0.2">
      <c r="A499" t="s">
        <v>87</v>
      </c>
      <c r="B499" t="s">
        <v>93</v>
      </c>
      <c r="C499" s="14">
        <v>2002</v>
      </c>
      <c r="D499" t="str">
        <f t="shared" si="14"/>
        <v>yes</v>
      </c>
      <c r="E499">
        <f>COUNTIF($B$8:$B$1006,"Sri Lanka")</f>
        <v>5</v>
      </c>
      <c r="F499" s="23"/>
      <c r="G499" s="3" t="str">
        <f t="shared" si="15"/>
        <v/>
      </c>
      <c r="H499" s="14"/>
    </row>
    <row r="500" spans="1:8" x14ac:dyDescent="0.2">
      <c r="A500" t="s">
        <v>95</v>
      </c>
      <c r="B500" t="s">
        <v>103</v>
      </c>
      <c r="C500" s="14">
        <v>2002</v>
      </c>
      <c r="D500" t="str">
        <f t="shared" si="14"/>
        <v>yes</v>
      </c>
      <c r="E500">
        <f>COUNTIF($B$8:$B$1006,"Chad")</f>
        <v>1</v>
      </c>
      <c r="F500" s="23"/>
      <c r="G500" s="3">
        <f t="shared" si="15"/>
        <v>1</v>
      </c>
      <c r="H500" s="14" t="s">
        <v>103</v>
      </c>
    </row>
    <row r="501" spans="1:8" x14ac:dyDescent="0.2">
      <c r="A501" t="s">
        <v>95</v>
      </c>
      <c r="B501" t="s">
        <v>107</v>
      </c>
      <c r="C501" s="14">
        <v>2002</v>
      </c>
      <c r="D501" t="str">
        <f t="shared" si="14"/>
        <v>yes</v>
      </c>
      <c r="E501">
        <f>COUNTIF($B$8:$B$1006,"Cote D'Ivoire")</f>
        <v>9</v>
      </c>
      <c r="F501" s="23"/>
      <c r="G501" s="3" t="str">
        <f t="shared" si="15"/>
        <v/>
      </c>
      <c r="H501" s="14"/>
    </row>
    <row r="502" spans="1:8" x14ac:dyDescent="0.2">
      <c r="A502" t="s">
        <v>95</v>
      </c>
      <c r="B502" t="s">
        <v>113</v>
      </c>
      <c r="C502" s="14">
        <v>2002</v>
      </c>
      <c r="D502" t="str">
        <f t="shared" si="14"/>
        <v>yes</v>
      </c>
      <c r="E502">
        <f>COUNTIF($B$8:$B$1006,"Guinea-Bissau")</f>
        <v>3</v>
      </c>
      <c r="F502" s="23"/>
      <c r="G502" s="3" t="str">
        <f t="shared" si="15"/>
        <v/>
      </c>
      <c r="H502" s="14"/>
    </row>
    <row r="503" spans="1:8" x14ac:dyDescent="0.2">
      <c r="A503" t="s">
        <v>95</v>
      </c>
      <c r="B503" t="s">
        <v>135</v>
      </c>
      <c r="C503" s="14">
        <v>2002</v>
      </c>
      <c r="D503" t="str">
        <f t="shared" si="14"/>
        <v>yes</v>
      </c>
      <c r="E503">
        <f>COUNTIF($B$8:$B$1006,"Uganda")</f>
        <v>7</v>
      </c>
      <c r="F503" s="23"/>
      <c r="G503" s="3" t="str">
        <f t="shared" si="15"/>
        <v/>
      </c>
      <c r="H503" s="14"/>
    </row>
    <row r="504" spans="1:8" x14ac:dyDescent="0.2">
      <c r="A504" t="s">
        <v>4</v>
      </c>
      <c r="B504" t="s">
        <v>9</v>
      </c>
      <c r="C504" s="14">
        <v>2003</v>
      </c>
      <c r="D504" t="str">
        <f t="shared" si="14"/>
        <v>yes</v>
      </c>
      <c r="E504">
        <f>COUNTIF($B$8:$B$1006,"Fiji")</f>
        <v>2</v>
      </c>
      <c r="F504" s="23"/>
      <c r="G504" s="3">
        <f t="shared" si="15"/>
        <v>1</v>
      </c>
      <c r="H504" s="14" t="s">
        <v>9</v>
      </c>
    </row>
    <row r="505" spans="1:8" x14ac:dyDescent="0.2">
      <c r="A505" t="s">
        <v>4</v>
      </c>
      <c r="B505" t="s">
        <v>15</v>
      </c>
      <c r="C505" s="14">
        <v>2003</v>
      </c>
      <c r="D505" t="str">
        <f t="shared" si="14"/>
        <v>yes</v>
      </c>
      <c r="E505">
        <f>COUNTIF($B$8:$B$1006,"Philippines")</f>
        <v>9</v>
      </c>
      <c r="F505" s="23"/>
      <c r="G505" s="3" t="str">
        <f t="shared" si="15"/>
        <v/>
      </c>
      <c r="H505" s="14"/>
    </row>
    <row r="506" spans="1:8" x14ac:dyDescent="0.2">
      <c r="A506" t="s">
        <v>19</v>
      </c>
      <c r="B506" t="s">
        <v>21</v>
      </c>
      <c r="C506" s="14">
        <v>2003</v>
      </c>
      <c r="D506" t="str">
        <f t="shared" si="14"/>
        <v>yes</v>
      </c>
      <c r="E506">
        <f>COUNTIF($B$8:$B$1006,"Armenia")</f>
        <v>10</v>
      </c>
      <c r="F506" s="23"/>
      <c r="G506" s="3" t="str">
        <f t="shared" si="15"/>
        <v/>
      </c>
      <c r="H506" s="14"/>
    </row>
    <row r="507" spans="1:8" x14ac:dyDescent="0.2">
      <c r="A507" t="s">
        <v>19</v>
      </c>
      <c r="B507" t="s">
        <v>25</v>
      </c>
      <c r="C507" s="14">
        <v>2003</v>
      </c>
      <c r="D507" t="str">
        <f t="shared" si="14"/>
        <v>yes</v>
      </c>
      <c r="E507">
        <f>COUNTIF($B$8:$B$1006,"Bulgaria")</f>
        <v>8</v>
      </c>
      <c r="F507" s="23"/>
      <c r="G507" s="3" t="str">
        <f t="shared" si="15"/>
        <v/>
      </c>
      <c r="H507" s="14"/>
    </row>
    <row r="508" spans="1:8" x14ac:dyDescent="0.2">
      <c r="A508" t="s">
        <v>19</v>
      </c>
      <c r="B508" t="s">
        <v>28</v>
      </c>
      <c r="C508" s="14">
        <v>2003</v>
      </c>
      <c r="D508" t="str">
        <f t="shared" si="14"/>
        <v>yes</v>
      </c>
      <c r="E508">
        <f>COUNTIF($B$8:$B$1006,"Estonia")</f>
        <v>9</v>
      </c>
      <c r="F508" s="23"/>
      <c r="G508" s="3" t="str">
        <f t="shared" si="15"/>
        <v/>
      </c>
      <c r="H508" s="14"/>
    </row>
    <row r="509" spans="1:8" x14ac:dyDescent="0.2">
      <c r="A509" t="s">
        <v>19</v>
      </c>
      <c r="B509" t="s">
        <v>29</v>
      </c>
      <c r="C509" s="14">
        <v>2003</v>
      </c>
      <c r="D509" t="str">
        <f t="shared" si="14"/>
        <v>yes</v>
      </c>
      <c r="E509">
        <f>COUNTIF($B$8:$B$1006,"Georgia")</f>
        <v>12</v>
      </c>
      <c r="F509" s="23"/>
      <c r="G509" s="3" t="str">
        <f t="shared" si="15"/>
        <v/>
      </c>
      <c r="H509" s="14"/>
    </row>
    <row r="510" spans="1:8" x14ac:dyDescent="0.2">
      <c r="A510" t="s">
        <v>19</v>
      </c>
      <c r="B510" t="s">
        <v>31</v>
      </c>
      <c r="C510" s="14">
        <v>2003</v>
      </c>
      <c r="D510" t="str">
        <f t="shared" si="14"/>
        <v>yes</v>
      </c>
      <c r="E510">
        <f>COUNTIF($B$8:$B$1006,"Kazakhstan")</f>
        <v>11</v>
      </c>
      <c r="F510" s="23"/>
      <c r="G510" s="3" t="str">
        <f t="shared" si="15"/>
        <v/>
      </c>
      <c r="H510" s="14"/>
    </row>
    <row r="511" spans="1:8" x14ac:dyDescent="0.2">
      <c r="A511" t="s">
        <v>19</v>
      </c>
      <c r="B511" t="s">
        <v>33</v>
      </c>
      <c r="C511" s="14">
        <v>2003</v>
      </c>
      <c r="D511" t="str">
        <f t="shared" si="14"/>
        <v>yes</v>
      </c>
      <c r="E511">
        <f>COUNTIF($B$8:$B$1006,"Latvia")</f>
        <v>11</v>
      </c>
      <c r="F511" s="23"/>
      <c r="G511" s="3" t="str">
        <f t="shared" si="15"/>
        <v/>
      </c>
      <c r="H511" s="14"/>
    </row>
    <row r="512" spans="1:8" x14ac:dyDescent="0.2">
      <c r="A512" t="s">
        <v>19</v>
      </c>
      <c r="B512" t="s">
        <v>35</v>
      </c>
      <c r="C512" s="14">
        <v>2003</v>
      </c>
      <c r="D512" t="str">
        <f t="shared" si="14"/>
        <v>yes</v>
      </c>
      <c r="E512">
        <f>COUNTIF($B$8:$B$1006,"Macedonia")</f>
        <v>9</v>
      </c>
      <c r="F512" s="23"/>
      <c r="G512" s="3" t="str">
        <f t="shared" si="15"/>
        <v/>
      </c>
      <c r="H512" s="14"/>
    </row>
    <row r="513" spans="1:8" x14ac:dyDescent="0.2">
      <c r="A513" t="s">
        <v>19</v>
      </c>
      <c r="B513" t="s">
        <v>36</v>
      </c>
      <c r="C513" s="14">
        <v>2003</v>
      </c>
      <c r="D513" t="str">
        <f t="shared" si="14"/>
        <v>yes</v>
      </c>
      <c r="E513">
        <f>COUNTIF($B$8:$B$1006,"Moldova")</f>
        <v>15</v>
      </c>
      <c r="F513" s="23"/>
      <c r="G513" s="3" t="str">
        <f t="shared" si="15"/>
        <v/>
      </c>
      <c r="H513" s="14"/>
    </row>
    <row r="514" spans="1:8" x14ac:dyDescent="0.2">
      <c r="A514" t="s">
        <v>19</v>
      </c>
      <c r="B514" t="s">
        <v>39</v>
      </c>
      <c r="C514" s="14">
        <v>2003</v>
      </c>
      <c r="D514" t="str">
        <f t="shared" si="14"/>
        <v>yes</v>
      </c>
      <c r="E514">
        <f>COUNTIF($B$8:$B$1006,"Romania")</f>
        <v>14</v>
      </c>
      <c r="F514" s="23"/>
      <c r="G514" s="3" t="str">
        <f t="shared" si="15"/>
        <v/>
      </c>
      <c r="H514" s="14"/>
    </row>
    <row r="515" spans="1:8" x14ac:dyDescent="0.2">
      <c r="A515" t="s">
        <v>19</v>
      </c>
      <c r="B515" t="s">
        <v>40</v>
      </c>
      <c r="C515" s="14">
        <v>2003</v>
      </c>
      <c r="D515" t="str">
        <f t="shared" si="14"/>
        <v>yes</v>
      </c>
      <c r="E515">
        <f>COUNTIF($B$8:$B$1006,"Russian Federation")</f>
        <v>13</v>
      </c>
      <c r="F515" s="23"/>
      <c r="G515" s="3" t="str">
        <f t="shared" si="15"/>
        <v/>
      </c>
      <c r="H515" s="14"/>
    </row>
    <row r="516" spans="1:8" x14ac:dyDescent="0.2">
      <c r="A516" t="s">
        <v>19</v>
      </c>
      <c r="B516" t="s">
        <v>41</v>
      </c>
      <c r="C516" s="14">
        <v>2003</v>
      </c>
      <c r="D516" t="str">
        <f t="shared" si="14"/>
        <v>yes</v>
      </c>
      <c r="E516">
        <f>COUNTIF($B$8:$B$1006,"Serbia")</f>
        <v>8</v>
      </c>
      <c r="F516" s="23"/>
      <c r="G516" s="3" t="str">
        <f t="shared" si="15"/>
        <v/>
      </c>
      <c r="H516" s="14"/>
    </row>
    <row r="517" spans="1:8" x14ac:dyDescent="0.2">
      <c r="A517" t="s">
        <v>19</v>
      </c>
      <c r="B517" t="s">
        <v>44</v>
      </c>
      <c r="C517" s="14">
        <v>2003</v>
      </c>
      <c r="D517" t="str">
        <f t="shared" si="14"/>
        <v>yes</v>
      </c>
      <c r="E517">
        <f>COUNTIF($B$8:$B$1006,"Slovenia")</f>
        <v>6</v>
      </c>
      <c r="F517" s="23"/>
      <c r="G517" s="3" t="str">
        <f t="shared" si="15"/>
        <v/>
      </c>
      <c r="H517" s="14"/>
    </row>
    <row r="518" spans="1:8" x14ac:dyDescent="0.2">
      <c r="A518" t="s">
        <v>19</v>
      </c>
      <c r="B518" t="s">
        <v>43</v>
      </c>
      <c r="C518" s="14">
        <v>2003</v>
      </c>
      <c r="D518" t="str">
        <f t="shared" si="14"/>
        <v>yes</v>
      </c>
      <c r="E518">
        <f>COUNTIF($B$8:$B$1006,"Tajikistan")</f>
        <v>5</v>
      </c>
      <c r="F518" s="23"/>
      <c r="G518" s="3" t="str">
        <f t="shared" si="15"/>
        <v/>
      </c>
      <c r="H518" s="14"/>
    </row>
    <row r="519" spans="1:8" x14ac:dyDescent="0.2">
      <c r="A519" t="s">
        <v>19</v>
      </c>
      <c r="B519" t="s">
        <v>45</v>
      </c>
      <c r="C519" s="14">
        <v>2003</v>
      </c>
      <c r="D519" t="str">
        <f t="shared" si="14"/>
        <v>yes</v>
      </c>
      <c r="E519">
        <f>COUNTIF($B$8:$B$1006,"Turkey")</f>
        <v>9</v>
      </c>
      <c r="F519" s="23"/>
      <c r="G519" s="3" t="str">
        <f t="shared" si="15"/>
        <v/>
      </c>
      <c r="H519" s="14"/>
    </row>
    <row r="520" spans="1:8" x14ac:dyDescent="0.2">
      <c r="A520" t="s">
        <v>19</v>
      </c>
      <c r="B520" t="s">
        <v>47</v>
      </c>
      <c r="C520" s="14">
        <v>2003</v>
      </c>
      <c r="D520" t="str">
        <f t="shared" ref="D520:D583" si="16">IF(F520="LSMS","no","yes")</f>
        <v>yes</v>
      </c>
      <c r="E520">
        <f>COUNTIF($B$8:$B$1006,"Ukraine")</f>
        <v>13</v>
      </c>
      <c r="F520" s="23"/>
      <c r="G520" s="3" t="str">
        <f t="shared" ref="G520:G583" si="17">IF(H520="","",1)</f>
        <v/>
      </c>
      <c r="H520" s="14"/>
    </row>
    <row r="521" spans="1:8" x14ac:dyDescent="0.2">
      <c r="A521" t="s">
        <v>49</v>
      </c>
      <c r="B521" t="s">
        <v>48</v>
      </c>
      <c r="C521" s="14">
        <v>2003</v>
      </c>
      <c r="D521" t="str">
        <f t="shared" si="16"/>
        <v>yes</v>
      </c>
      <c r="E521">
        <f>COUNTIF($B$8:$B$1006,"Argentina")</f>
        <v>22</v>
      </c>
      <c r="F521" s="23"/>
      <c r="G521" s="3" t="str">
        <f t="shared" si="17"/>
        <v/>
      </c>
      <c r="H521" s="14"/>
    </row>
    <row r="522" spans="1:8" x14ac:dyDescent="0.2">
      <c r="A522" t="s">
        <v>49</v>
      </c>
      <c r="B522" t="s">
        <v>52</v>
      </c>
      <c r="C522" s="14">
        <v>2003</v>
      </c>
      <c r="D522" t="str">
        <f t="shared" si="16"/>
        <v>yes</v>
      </c>
      <c r="E522">
        <f>COUNTIF($B$8:$B$1006,"Brazil")</f>
        <v>26</v>
      </c>
      <c r="F522" s="23"/>
      <c r="G522" s="3" t="str">
        <f t="shared" si="17"/>
        <v/>
      </c>
      <c r="H522" s="14"/>
    </row>
    <row r="523" spans="1:8" x14ac:dyDescent="0.2">
      <c r="A523" t="s">
        <v>49</v>
      </c>
      <c r="B523" t="s">
        <v>53</v>
      </c>
      <c r="C523" s="14">
        <v>2003</v>
      </c>
      <c r="D523" t="str">
        <f t="shared" si="16"/>
        <v>yes</v>
      </c>
      <c r="E523">
        <f>COUNTIF($B$8:$B$1006,"Chile")</f>
        <v>10</v>
      </c>
      <c r="F523" s="23"/>
      <c r="G523" s="3" t="str">
        <f t="shared" si="17"/>
        <v/>
      </c>
      <c r="H523" s="14"/>
    </row>
    <row r="524" spans="1:8" x14ac:dyDescent="0.2">
      <c r="A524" t="s">
        <v>49</v>
      </c>
      <c r="B524" t="s">
        <v>54</v>
      </c>
      <c r="C524" s="14">
        <v>2003</v>
      </c>
      <c r="D524" t="str">
        <f t="shared" si="16"/>
        <v>yes</v>
      </c>
      <c r="E524">
        <f>COUNTIF($B$8:$B$1006,"Colombia")</f>
        <v>18</v>
      </c>
      <c r="F524" s="23"/>
      <c r="G524" s="3" t="str">
        <f t="shared" si="17"/>
        <v/>
      </c>
      <c r="H524" s="14"/>
    </row>
    <row r="525" spans="1:8" x14ac:dyDescent="0.2">
      <c r="A525" t="s">
        <v>49</v>
      </c>
      <c r="B525" t="s">
        <v>55</v>
      </c>
      <c r="C525" s="14">
        <v>2003</v>
      </c>
      <c r="D525" t="str">
        <f t="shared" si="16"/>
        <v>yes</v>
      </c>
      <c r="E525">
        <f>COUNTIF($B$8:$B$1006,"Costa Rica")</f>
        <v>23</v>
      </c>
      <c r="F525" s="23"/>
      <c r="G525" s="3" t="str">
        <f t="shared" si="17"/>
        <v/>
      </c>
      <c r="H525" s="14"/>
    </row>
    <row r="526" spans="1:8" x14ac:dyDescent="0.2">
      <c r="A526" t="s">
        <v>49</v>
      </c>
      <c r="B526" t="s">
        <v>56</v>
      </c>
      <c r="C526" s="14">
        <v>2003</v>
      </c>
      <c r="D526" t="str">
        <f t="shared" si="16"/>
        <v>yes</v>
      </c>
      <c r="E526">
        <f>COUNTIF($B$8:$B$1006,"Dominican Republic")</f>
        <v>16</v>
      </c>
      <c r="F526" s="23"/>
      <c r="G526" s="3" t="str">
        <f t="shared" si="17"/>
        <v/>
      </c>
      <c r="H526" s="14"/>
    </row>
    <row r="527" spans="1:8" x14ac:dyDescent="0.2">
      <c r="A527" t="s">
        <v>49</v>
      </c>
      <c r="B527" t="s">
        <v>57</v>
      </c>
      <c r="C527" s="14">
        <v>2003</v>
      </c>
      <c r="D527" t="str">
        <f t="shared" si="16"/>
        <v>yes</v>
      </c>
      <c r="E527">
        <f>COUNTIF($B$8:$B$1006,"Ecuador")</f>
        <v>13</v>
      </c>
      <c r="F527" s="23"/>
      <c r="G527" s="3" t="str">
        <f t="shared" si="17"/>
        <v/>
      </c>
      <c r="H527" s="14"/>
    </row>
    <row r="528" spans="1:8" x14ac:dyDescent="0.2">
      <c r="A528" t="s">
        <v>49</v>
      </c>
      <c r="B528" t="s">
        <v>58</v>
      </c>
      <c r="C528" s="14">
        <v>2003</v>
      </c>
      <c r="D528" t="str">
        <f t="shared" si="16"/>
        <v>yes</v>
      </c>
      <c r="E528">
        <f>COUNTIF($B$8:$B$1006,"El Salvador")</f>
        <v>15</v>
      </c>
      <c r="F528" s="23"/>
      <c r="G528" s="3" t="str">
        <f t="shared" si="17"/>
        <v/>
      </c>
      <c r="H528" s="14"/>
    </row>
    <row r="529" spans="1:8" x14ac:dyDescent="0.2">
      <c r="A529" t="s">
        <v>49</v>
      </c>
      <c r="B529" t="s">
        <v>59</v>
      </c>
      <c r="C529" s="14">
        <v>2003</v>
      </c>
      <c r="D529" t="str">
        <f t="shared" si="16"/>
        <v>yes</v>
      </c>
      <c r="E529">
        <f>COUNTIF($B$8:$B$1006,"Guatemala")</f>
        <v>8</v>
      </c>
      <c r="F529" s="23"/>
      <c r="G529" s="3" t="str">
        <f t="shared" si="17"/>
        <v/>
      </c>
      <c r="H529" s="14"/>
    </row>
    <row r="530" spans="1:8" x14ac:dyDescent="0.2">
      <c r="A530" t="s">
        <v>49</v>
      </c>
      <c r="B530" t="s">
        <v>62</v>
      </c>
      <c r="C530" s="14">
        <v>2003</v>
      </c>
      <c r="D530" t="str">
        <f t="shared" si="16"/>
        <v>yes</v>
      </c>
      <c r="E530">
        <f>COUNTIF($B$8:$B$1006,"Honduras")</f>
        <v>21</v>
      </c>
      <c r="F530" s="23"/>
      <c r="G530" s="3" t="str">
        <f t="shared" si="17"/>
        <v/>
      </c>
      <c r="H530" s="14"/>
    </row>
    <row r="531" spans="1:8" x14ac:dyDescent="0.2">
      <c r="A531" t="s">
        <v>49</v>
      </c>
      <c r="B531" t="s">
        <v>66</v>
      </c>
      <c r="C531" s="14">
        <v>2003</v>
      </c>
      <c r="D531" t="str">
        <f t="shared" si="16"/>
        <v>yes</v>
      </c>
      <c r="E531">
        <f>COUNTIF($B$8:$B$1006,"Panama")</f>
        <v>13</v>
      </c>
      <c r="F531" s="23"/>
      <c r="G531" s="3" t="str">
        <f t="shared" si="17"/>
        <v/>
      </c>
      <c r="H531" s="14"/>
    </row>
    <row r="532" spans="1:8" x14ac:dyDescent="0.2">
      <c r="A532" t="s">
        <v>49</v>
      </c>
      <c r="B532" t="s">
        <v>67</v>
      </c>
      <c r="C532" s="14">
        <v>2003</v>
      </c>
      <c r="D532" t="str">
        <f t="shared" si="16"/>
        <v>yes</v>
      </c>
      <c r="E532">
        <f>COUNTIF($B$8:$B$1006,"Paraguay")</f>
        <v>14</v>
      </c>
      <c r="F532" s="23"/>
      <c r="G532" s="3" t="str">
        <f t="shared" si="17"/>
        <v/>
      </c>
      <c r="H532" s="14"/>
    </row>
    <row r="533" spans="1:8" x14ac:dyDescent="0.2">
      <c r="A533" t="s">
        <v>49</v>
      </c>
      <c r="B533" t="s">
        <v>68</v>
      </c>
      <c r="C533" s="14">
        <v>2003</v>
      </c>
      <c r="D533" t="str">
        <f t="shared" si="16"/>
        <v>yes</v>
      </c>
      <c r="E533">
        <f>COUNTIF($B$8:$B$1006,"Peru")</f>
        <v>16</v>
      </c>
      <c r="F533" s="23"/>
      <c r="G533" s="3" t="str">
        <f t="shared" si="17"/>
        <v/>
      </c>
      <c r="H533" s="14"/>
    </row>
    <row r="534" spans="1:8" x14ac:dyDescent="0.2">
      <c r="A534" t="s">
        <v>49</v>
      </c>
      <c r="B534" t="s">
        <v>72</v>
      </c>
      <c r="C534" s="14">
        <v>2003</v>
      </c>
      <c r="D534" t="str">
        <f t="shared" si="16"/>
        <v>yes</v>
      </c>
      <c r="E534">
        <f>COUNTIF($B$8:$B$1006,"Uruguay")</f>
        <v>18</v>
      </c>
      <c r="F534" s="23"/>
      <c r="G534" s="3" t="str">
        <f t="shared" si="17"/>
        <v/>
      </c>
      <c r="H534" s="14"/>
    </row>
    <row r="535" spans="1:8" x14ac:dyDescent="0.2">
      <c r="A535" t="s">
        <v>49</v>
      </c>
      <c r="B535" t="s">
        <v>73</v>
      </c>
      <c r="C535" s="14">
        <v>2003</v>
      </c>
      <c r="D535" t="str">
        <f t="shared" si="16"/>
        <v>yes</v>
      </c>
      <c r="E535">
        <f>COUNTIF($B$8:$B$1006,"Venezuela")</f>
        <v>13</v>
      </c>
      <c r="F535" s="23"/>
      <c r="G535" s="3" t="str">
        <f t="shared" si="17"/>
        <v/>
      </c>
      <c r="H535" s="14"/>
    </row>
    <row r="536" spans="1:8" x14ac:dyDescent="0.2">
      <c r="A536" t="s">
        <v>74</v>
      </c>
      <c r="B536" t="s">
        <v>80</v>
      </c>
      <c r="C536" s="14">
        <v>2003</v>
      </c>
      <c r="D536" t="str">
        <f t="shared" si="16"/>
        <v>yes</v>
      </c>
      <c r="E536">
        <f>COUNTIF($B$8:$B$1006,"Jordan")</f>
        <v>7</v>
      </c>
      <c r="F536" s="23"/>
      <c r="G536" s="3" t="str">
        <f t="shared" si="17"/>
        <v/>
      </c>
      <c r="H536" s="14"/>
    </row>
    <row r="537" spans="1:8" x14ac:dyDescent="0.2">
      <c r="A537" t="s">
        <v>87</v>
      </c>
      <c r="B537" t="s">
        <v>88</v>
      </c>
      <c r="C537" s="14">
        <v>2003</v>
      </c>
      <c r="D537" t="str">
        <f t="shared" si="16"/>
        <v>yes</v>
      </c>
      <c r="E537">
        <f>COUNTIF($B$8:$B$1006,"Bhutan")</f>
        <v>2</v>
      </c>
      <c r="F537" s="23"/>
      <c r="G537" s="3">
        <f t="shared" si="17"/>
        <v>1</v>
      </c>
      <c r="H537" s="14" t="s">
        <v>88</v>
      </c>
    </row>
    <row r="538" spans="1:8" x14ac:dyDescent="0.2">
      <c r="A538" t="s">
        <v>87</v>
      </c>
      <c r="B538" t="s">
        <v>91</v>
      </c>
      <c r="C538" s="14">
        <v>2003</v>
      </c>
      <c r="D538" t="str">
        <f t="shared" si="16"/>
        <v>yes</v>
      </c>
      <c r="E538">
        <f>COUNTIF($B$8:$B$1006,"Nepal")</f>
        <v>4</v>
      </c>
      <c r="F538" s="23"/>
      <c r="G538" s="3" t="str">
        <f t="shared" si="17"/>
        <v/>
      </c>
      <c r="H538" s="14"/>
    </row>
    <row r="539" spans="1:8" x14ac:dyDescent="0.2">
      <c r="A539" t="s">
        <v>95</v>
      </c>
      <c r="B539" t="s">
        <v>96</v>
      </c>
      <c r="C539" s="14">
        <v>2003</v>
      </c>
      <c r="D539" t="str">
        <f t="shared" si="16"/>
        <v>yes</v>
      </c>
      <c r="E539">
        <f>COUNTIF($B$8:$B$1006,"Benin")</f>
        <v>1</v>
      </c>
      <c r="F539" s="23"/>
      <c r="G539" s="3">
        <f t="shared" si="17"/>
        <v>1</v>
      </c>
      <c r="H539" s="14" t="s">
        <v>96</v>
      </c>
    </row>
    <row r="540" spans="1:8" x14ac:dyDescent="0.2">
      <c r="A540" t="s">
        <v>95</v>
      </c>
      <c r="B540" t="s">
        <v>98</v>
      </c>
      <c r="C540" s="14">
        <v>2003</v>
      </c>
      <c r="D540" t="str">
        <f t="shared" si="16"/>
        <v>yes</v>
      </c>
      <c r="E540">
        <f>COUNTIF($B$8:$B$1006,"Burkina Faso")</f>
        <v>4</v>
      </c>
      <c r="F540" s="23"/>
      <c r="G540" s="3" t="str">
        <f t="shared" si="17"/>
        <v/>
      </c>
      <c r="H540" s="14"/>
    </row>
    <row r="541" spans="1:8" x14ac:dyDescent="0.2">
      <c r="A541" t="s">
        <v>95</v>
      </c>
      <c r="B541" t="s">
        <v>102</v>
      </c>
      <c r="C541" s="14">
        <v>2003</v>
      </c>
      <c r="D541" t="str">
        <f t="shared" si="16"/>
        <v>yes</v>
      </c>
      <c r="E541">
        <f>COUNTIF($B$8:$B$1006,"Central African Republic")</f>
        <v>3</v>
      </c>
      <c r="F541" s="23"/>
      <c r="G541" s="3" t="str">
        <f t="shared" si="17"/>
        <v/>
      </c>
      <c r="H541" s="14"/>
    </row>
    <row r="542" spans="1:8" x14ac:dyDescent="0.2">
      <c r="A542" t="s">
        <v>95</v>
      </c>
      <c r="B542" t="s">
        <v>110</v>
      </c>
      <c r="C542" s="14">
        <v>2003</v>
      </c>
      <c r="D542" t="str">
        <f t="shared" si="16"/>
        <v>yes</v>
      </c>
      <c r="E542">
        <f>COUNTIF($B$8:$B$1006,"Gambia")</f>
        <v>2</v>
      </c>
      <c r="F542" s="23"/>
      <c r="G542" s="3" t="str">
        <f t="shared" si="17"/>
        <v/>
      </c>
      <c r="H542" s="14"/>
    </row>
    <row r="543" spans="1:8" x14ac:dyDescent="0.2">
      <c r="A543" t="s">
        <v>95</v>
      </c>
      <c r="B543" t="s">
        <v>112</v>
      </c>
      <c r="C543" s="14">
        <v>2003</v>
      </c>
      <c r="D543" t="str">
        <f t="shared" si="16"/>
        <v>yes</v>
      </c>
      <c r="E543">
        <f>COUNTIF($B$8:$B$1006,"Guinea")</f>
        <v>4</v>
      </c>
      <c r="F543" s="23"/>
      <c r="G543" s="3" t="str">
        <f t="shared" si="17"/>
        <v/>
      </c>
      <c r="H543" s="14"/>
    </row>
    <row r="544" spans="1:8" x14ac:dyDescent="0.2">
      <c r="A544" t="s">
        <v>95</v>
      </c>
      <c r="B544" t="s">
        <v>115</v>
      </c>
      <c r="C544" s="14">
        <v>2003</v>
      </c>
      <c r="D544" t="str">
        <f t="shared" si="16"/>
        <v>yes</v>
      </c>
      <c r="E544">
        <f>COUNTIF($B$8:$B$1006,"Lesotho")</f>
        <v>4</v>
      </c>
      <c r="F544" s="23"/>
      <c r="G544" s="3" t="str">
        <f t="shared" si="17"/>
        <v/>
      </c>
      <c r="H544" s="14"/>
    </row>
    <row r="545" spans="1:8" x14ac:dyDescent="0.2">
      <c r="A545" t="s">
        <v>95</v>
      </c>
      <c r="B545" t="s">
        <v>121</v>
      </c>
      <c r="C545" s="14">
        <v>2003</v>
      </c>
      <c r="D545" t="str">
        <f t="shared" si="16"/>
        <v>yes</v>
      </c>
      <c r="E545">
        <f>COUNTIF($B$8:$B$1006,"Mozambique")</f>
        <v>3</v>
      </c>
      <c r="F545" s="23"/>
      <c r="G545" s="3" t="str">
        <f t="shared" si="17"/>
        <v/>
      </c>
      <c r="H545" s="14"/>
    </row>
    <row r="546" spans="1:8" x14ac:dyDescent="0.2">
      <c r="A546" t="s">
        <v>95</v>
      </c>
      <c r="B546" t="s">
        <v>129</v>
      </c>
      <c r="C546" s="14">
        <v>2003</v>
      </c>
      <c r="D546" t="str">
        <f t="shared" si="16"/>
        <v>yes</v>
      </c>
      <c r="E546">
        <f>COUNTIF($B$8:$B$1006,"Sierra Leone")</f>
        <v>2</v>
      </c>
      <c r="F546" s="23"/>
      <c r="G546" s="3" t="str">
        <f t="shared" si="17"/>
        <v/>
      </c>
      <c r="H546" s="14"/>
    </row>
    <row r="547" spans="1:8" x14ac:dyDescent="0.2">
      <c r="A547" t="s">
        <v>95</v>
      </c>
      <c r="B547" t="s">
        <v>136</v>
      </c>
      <c r="C547" s="14">
        <v>2003</v>
      </c>
      <c r="D547" t="str">
        <f t="shared" si="16"/>
        <v>yes</v>
      </c>
      <c r="E547">
        <f>COUNTIF($B$8:$B$1006,"Zambia")</f>
        <v>7</v>
      </c>
      <c r="F547" s="23"/>
      <c r="G547" s="3" t="str">
        <f t="shared" si="17"/>
        <v/>
      </c>
      <c r="H547" s="14"/>
    </row>
    <row r="548" spans="1:8" x14ac:dyDescent="0.2">
      <c r="A548" t="s">
        <v>4</v>
      </c>
      <c r="B548" t="s">
        <v>5</v>
      </c>
      <c r="C548" s="14">
        <v>2004</v>
      </c>
      <c r="D548" t="str">
        <f t="shared" si="16"/>
        <v>yes</v>
      </c>
      <c r="E548">
        <f>COUNTIF($B$8:$B$1006,"Cambodia")</f>
        <v>4</v>
      </c>
      <c r="F548" s="23"/>
      <c r="G548" s="3" t="str">
        <f t="shared" si="17"/>
        <v/>
      </c>
      <c r="H548" s="14"/>
    </row>
    <row r="549" spans="1:8" x14ac:dyDescent="0.2">
      <c r="A549" t="s">
        <v>4</v>
      </c>
      <c r="B549" t="s">
        <v>12</v>
      </c>
      <c r="C549" s="14">
        <v>2004</v>
      </c>
      <c r="D549" t="str">
        <f t="shared" si="16"/>
        <v>yes</v>
      </c>
      <c r="E549">
        <f>COUNTIF($B$8:$B$1006,"Malaysia")</f>
        <v>9</v>
      </c>
      <c r="F549" s="23"/>
      <c r="G549" s="3" t="str">
        <f t="shared" si="17"/>
        <v/>
      </c>
      <c r="H549" s="14"/>
    </row>
    <row r="550" spans="1:8" x14ac:dyDescent="0.2">
      <c r="A550" t="s">
        <v>4</v>
      </c>
      <c r="B550" t="s">
        <v>18</v>
      </c>
      <c r="C550" s="14">
        <v>2004</v>
      </c>
      <c r="D550" t="str">
        <f t="shared" si="16"/>
        <v>yes</v>
      </c>
      <c r="E550">
        <f>COUNTIF($B$8:$B$1006,"Vietnam")</f>
        <v>6</v>
      </c>
      <c r="F550" s="23"/>
      <c r="G550" s="3" t="str">
        <f t="shared" si="17"/>
        <v/>
      </c>
      <c r="H550" s="14"/>
    </row>
    <row r="551" spans="1:8" x14ac:dyDescent="0.2">
      <c r="A551" t="s">
        <v>19</v>
      </c>
      <c r="B551" t="s">
        <v>20</v>
      </c>
      <c r="C551" s="14">
        <v>2004</v>
      </c>
      <c r="D551" t="str">
        <f t="shared" si="16"/>
        <v>yes</v>
      </c>
      <c r="E551">
        <f>COUNTIF($B$8:$B$1006,"Albania")</f>
        <v>5</v>
      </c>
      <c r="F551" s="23"/>
      <c r="G551" s="3" t="str">
        <f t="shared" si="17"/>
        <v/>
      </c>
      <c r="H551" s="14"/>
    </row>
    <row r="552" spans="1:8" x14ac:dyDescent="0.2">
      <c r="A552" t="s">
        <v>19</v>
      </c>
      <c r="B552" t="s">
        <v>21</v>
      </c>
      <c r="C552" s="14">
        <v>2004</v>
      </c>
      <c r="D552" t="str">
        <f t="shared" si="16"/>
        <v>yes</v>
      </c>
      <c r="E552">
        <f>COUNTIF($B$8:$B$1006,"Armenia")</f>
        <v>10</v>
      </c>
      <c r="F552" s="23"/>
      <c r="G552" s="3" t="str">
        <f t="shared" si="17"/>
        <v/>
      </c>
      <c r="H552" s="14"/>
    </row>
    <row r="553" spans="1:8" x14ac:dyDescent="0.2">
      <c r="A553" t="s">
        <v>19</v>
      </c>
      <c r="B553" t="s">
        <v>23</v>
      </c>
      <c r="C553" s="14">
        <v>2004</v>
      </c>
      <c r="D553" t="str">
        <f t="shared" si="16"/>
        <v>yes</v>
      </c>
      <c r="E553">
        <f>COUNTIF($B$8:$B$1006,"Belarus")</f>
        <v>12</v>
      </c>
      <c r="F553" s="23"/>
      <c r="G553" s="3" t="str">
        <f t="shared" si="17"/>
        <v/>
      </c>
      <c r="H553" s="14"/>
    </row>
    <row r="554" spans="1:8" x14ac:dyDescent="0.2">
      <c r="A554" t="s">
        <v>19</v>
      </c>
      <c r="B554" t="s">
        <v>24</v>
      </c>
      <c r="C554" s="14">
        <v>2004</v>
      </c>
      <c r="D554" t="str">
        <f t="shared" si="16"/>
        <v>yes</v>
      </c>
      <c r="E554">
        <f>COUNTIF($B$8:$B$1006,"Bosnia and Herzegovina")</f>
        <v>3</v>
      </c>
      <c r="F554" s="23"/>
      <c r="G554" s="3" t="str">
        <f t="shared" si="17"/>
        <v/>
      </c>
      <c r="H554" s="14"/>
    </row>
    <row r="555" spans="1:8" x14ac:dyDescent="0.2">
      <c r="A555" t="s">
        <v>19</v>
      </c>
      <c r="B555" t="s">
        <v>26</v>
      </c>
      <c r="C555" s="14">
        <v>2004</v>
      </c>
      <c r="D555" t="str">
        <f t="shared" si="16"/>
        <v>yes</v>
      </c>
      <c r="E555">
        <f>COUNTIF($B$8:$B$1006,"Croatia")</f>
        <v>7</v>
      </c>
      <c r="F555" s="23"/>
      <c r="G555" s="3" t="str">
        <f t="shared" si="17"/>
        <v/>
      </c>
      <c r="H555" s="14"/>
    </row>
    <row r="556" spans="1:8" x14ac:dyDescent="0.2">
      <c r="A556" t="s">
        <v>19</v>
      </c>
      <c r="B556" t="s">
        <v>28</v>
      </c>
      <c r="C556" s="14">
        <v>2004</v>
      </c>
      <c r="D556" t="str">
        <f t="shared" si="16"/>
        <v>yes</v>
      </c>
      <c r="E556">
        <f>COUNTIF($B$8:$B$1006,"Estonia")</f>
        <v>9</v>
      </c>
      <c r="F556" s="23"/>
      <c r="G556" s="3" t="str">
        <f t="shared" si="17"/>
        <v/>
      </c>
      <c r="H556" s="14"/>
    </row>
    <row r="557" spans="1:8" x14ac:dyDescent="0.2">
      <c r="A557" t="s">
        <v>19</v>
      </c>
      <c r="B557" t="s">
        <v>30</v>
      </c>
      <c r="C557" s="14">
        <v>2004</v>
      </c>
      <c r="D557" t="str">
        <f t="shared" si="16"/>
        <v>yes</v>
      </c>
      <c r="E557">
        <f>COUNTIF($B$8:$B$1006,"Hungary")</f>
        <v>10</v>
      </c>
      <c r="F557" s="23"/>
      <c r="G557" s="3" t="str">
        <f t="shared" si="17"/>
        <v/>
      </c>
      <c r="H557" s="14"/>
    </row>
    <row r="558" spans="1:8" x14ac:dyDescent="0.2">
      <c r="A558" t="s">
        <v>19</v>
      </c>
      <c r="B558" t="s">
        <v>31</v>
      </c>
      <c r="C558" s="14">
        <v>2004</v>
      </c>
      <c r="D558" t="str">
        <f t="shared" si="16"/>
        <v>yes</v>
      </c>
      <c r="E558">
        <f>COUNTIF($B$8:$B$1006,"Kazakhstan")</f>
        <v>11</v>
      </c>
      <c r="F558" s="23"/>
      <c r="G558" s="3" t="str">
        <f t="shared" si="17"/>
        <v/>
      </c>
      <c r="H558" s="14"/>
    </row>
    <row r="559" spans="1:8" x14ac:dyDescent="0.2">
      <c r="A559" t="s">
        <v>19</v>
      </c>
      <c r="B559" t="s">
        <v>32</v>
      </c>
      <c r="C559" s="14">
        <v>2004</v>
      </c>
      <c r="D559" t="str">
        <f t="shared" si="16"/>
        <v>yes</v>
      </c>
      <c r="E559">
        <f>COUNTIF($B$8:$B$1006,"Kyrgyz Republic")</f>
        <v>10</v>
      </c>
      <c r="F559" s="23"/>
      <c r="G559" s="3" t="str">
        <f t="shared" si="17"/>
        <v/>
      </c>
      <c r="H559" s="14"/>
    </row>
    <row r="560" spans="1:8" x14ac:dyDescent="0.2">
      <c r="A560" t="s">
        <v>19</v>
      </c>
      <c r="B560" t="s">
        <v>33</v>
      </c>
      <c r="C560" s="14">
        <v>2004</v>
      </c>
      <c r="D560" t="str">
        <f t="shared" si="16"/>
        <v>yes</v>
      </c>
      <c r="E560">
        <f>COUNTIF($B$8:$B$1006,"Latvia")</f>
        <v>11</v>
      </c>
      <c r="F560" s="23"/>
      <c r="G560" s="3" t="str">
        <f t="shared" si="17"/>
        <v/>
      </c>
      <c r="H560" s="14"/>
    </row>
    <row r="561" spans="1:8" x14ac:dyDescent="0.2">
      <c r="A561" t="s">
        <v>19</v>
      </c>
      <c r="B561" t="s">
        <v>34</v>
      </c>
      <c r="C561" s="14">
        <v>2004</v>
      </c>
      <c r="D561" t="str">
        <f t="shared" si="16"/>
        <v>yes</v>
      </c>
      <c r="E561">
        <f>COUNTIF($B$8:$B$1006,"Lithuania")</f>
        <v>9</v>
      </c>
      <c r="F561" s="23"/>
      <c r="G561" s="3" t="str">
        <f t="shared" si="17"/>
        <v/>
      </c>
      <c r="H561" s="14"/>
    </row>
    <row r="562" spans="1:8" x14ac:dyDescent="0.2">
      <c r="A562" t="s">
        <v>19</v>
      </c>
      <c r="B562" t="s">
        <v>35</v>
      </c>
      <c r="C562" s="14">
        <v>2004</v>
      </c>
      <c r="D562" t="str">
        <f t="shared" si="16"/>
        <v>yes</v>
      </c>
      <c r="E562">
        <f>COUNTIF($B$8:$B$1006,"Macedonia")</f>
        <v>9</v>
      </c>
      <c r="F562" s="23"/>
      <c r="G562" s="3" t="str">
        <f t="shared" si="17"/>
        <v/>
      </c>
      <c r="H562" s="14"/>
    </row>
    <row r="563" spans="1:8" x14ac:dyDescent="0.2">
      <c r="A563" t="s">
        <v>19</v>
      </c>
      <c r="B563" t="s">
        <v>36</v>
      </c>
      <c r="C563" s="14">
        <v>2004</v>
      </c>
      <c r="D563" t="str">
        <f t="shared" si="16"/>
        <v>yes</v>
      </c>
      <c r="E563">
        <f>COUNTIF($B$8:$B$1006,"Moldova")</f>
        <v>15</v>
      </c>
      <c r="F563" s="23"/>
      <c r="G563" s="3" t="str">
        <f t="shared" si="17"/>
        <v/>
      </c>
      <c r="H563" s="14"/>
    </row>
    <row r="564" spans="1:8" x14ac:dyDescent="0.2">
      <c r="A564" t="s">
        <v>19</v>
      </c>
      <c r="B564" t="s">
        <v>38</v>
      </c>
      <c r="C564" s="14">
        <v>2004</v>
      </c>
      <c r="D564" t="str">
        <f t="shared" si="16"/>
        <v>yes</v>
      </c>
      <c r="E564">
        <f>COUNTIF($B$8:$B$1006,"Poland")</f>
        <v>17</v>
      </c>
      <c r="F564" s="23"/>
      <c r="G564" s="3" t="str">
        <f t="shared" si="17"/>
        <v/>
      </c>
      <c r="H564" s="14"/>
    </row>
    <row r="565" spans="1:8" x14ac:dyDescent="0.2">
      <c r="A565" t="s">
        <v>19</v>
      </c>
      <c r="B565" t="s">
        <v>39</v>
      </c>
      <c r="C565" s="14">
        <v>2004</v>
      </c>
      <c r="D565" t="str">
        <f t="shared" si="16"/>
        <v>yes</v>
      </c>
      <c r="E565">
        <f>COUNTIF($B$8:$B$1006,"Romania")</f>
        <v>14</v>
      </c>
      <c r="F565" s="23"/>
      <c r="G565" s="3" t="str">
        <f t="shared" si="17"/>
        <v/>
      </c>
      <c r="H565" s="14"/>
    </row>
    <row r="566" spans="1:8" x14ac:dyDescent="0.2">
      <c r="A566" t="s">
        <v>19</v>
      </c>
      <c r="B566" t="s">
        <v>40</v>
      </c>
      <c r="C566" s="14">
        <v>2004</v>
      </c>
      <c r="D566" t="str">
        <f t="shared" si="16"/>
        <v>yes</v>
      </c>
      <c r="E566">
        <f>COUNTIF($B$8:$B$1006,"Russian Federation")</f>
        <v>13</v>
      </c>
      <c r="F566" s="23"/>
      <c r="G566" s="3" t="str">
        <f t="shared" si="17"/>
        <v/>
      </c>
      <c r="H566" s="14"/>
    </row>
    <row r="567" spans="1:8" x14ac:dyDescent="0.2">
      <c r="A567" t="s">
        <v>19</v>
      </c>
      <c r="B567" t="s">
        <v>41</v>
      </c>
      <c r="C567" s="14">
        <v>2004</v>
      </c>
      <c r="D567" t="str">
        <f t="shared" si="16"/>
        <v>yes</v>
      </c>
      <c r="E567">
        <f>COUNTIF($B$8:$B$1006,"Serbia")</f>
        <v>8</v>
      </c>
      <c r="F567" s="23"/>
      <c r="G567" s="3" t="str">
        <f t="shared" si="17"/>
        <v/>
      </c>
      <c r="H567" s="14"/>
    </row>
    <row r="568" spans="1:8" x14ac:dyDescent="0.2">
      <c r="A568" t="s">
        <v>19</v>
      </c>
      <c r="B568" t="s">
        <v>42</v>
      </c>
      <c r="C568" s="14">
        <v>2004</v>
      </c>
      <c r="D568" t="str">
        <f t="shared" si="16"/>
        <v>yes</v>
      </c>
      <c r="E568">
        <f>COUNTIF($B$8:$B$1006,"Slovak Republic")</f>
        <v>9</v>
      </c>
      <c r="F568" s="23"/>
      <c r="G568" s="3" t="str">
        <f t="shared" si="17"/>
        <v/>
      </c>
      <c r="H568" s="14"/>
    </row>
    <row r="569" spans="1:8" x14ac:dyDescent="0.2">
      <c r="A569" t="s">
        <v>19</v>
      </c>
      <c r="B569" t="s">
        <v>44</v>
      </c>
      <c r="C569" s="14">
        <v>2004</v>
      </c>
      <c r="D569" t="str">
        <f t="shared" si="16"/>
        <v>yes</v>
      </c>
      <c r="E569">
        <f>COUNTIF($B$8:$B$1006,"Slovenia")</f>
        <v>6</v>
      </c>
      <c r="F569" s="23"/>
      <c r="G569" s="3" t="str">
        <f t="shared" si="17"/>
        <v/>
      </c>
      <c r="H569" s="14"/>
    </row>
    <row r="570" spans="1:8" x14ac:dyDescent="0.2">
      <c r="A570" t="s">
        <v>19</v>
      </c>
      <c r="B570" t="s">
        <v>43</v>
      </c>
      <c r="C570" s="14">
        <v>2004</v>
      </c>
      <c r="D570" t="str">
        <f t="shared" si="16"/>
        <v>yes</v>
      </c>
      <c r="E570">
        <f>COUNTIF($B$8:$B$1006,"Tajikistan")</f>
        <v>5</v>
      </c>
      <c r="F570" s="23"/>
      <c r="G570" s="3" t="str">
        <f t="shared" si="17"/>
        <v/>
      </c>
      <c r="H570" s="14"/>
    </row>
    <row r="571" spans="1:8" x14ac:dyDescent="0.2">
      <c r="A571" t="s">
        <v>19</v>
      </c>
      <c r="B571" t="s">
        <v>45</v>
      </c>
      <c r="C571" s="14">
        <v>2004</v>
      </c>
      <c r="D571" t="str">
        <f t="shared" si="16"/>
        <v>yes</v>
      </c>
      <c r="E571">
        <f>COUNTIF($B$8:$B$1006,"Turkey")</f>
        <v>9</v>
      </c>
      <c r="F571" s="23"/>
      <c r="G571" s="3" t="str">
        <f t="shared" si="17"/>
        <v/>
      </c>
      <c r="H571" s="14"/>
    </row>
    <row r="572" spans="1:8" x14ac:dyDescent="0.2">
      <c r="A572" t="s">
        <v>19</v>
      </c>
      <c r="B572" t="s">
        <v>47</v>
      </c>
      <c r="C572" s="14">
        <v>2004</v>
      </c>
      <c r="D572" t="str">
        <f t="shared" si="16"/>
        <v>yes</v>
      </c>
      <c r="E572">
        <f>COUNTIF($B$8:$B$1006,"Ukraine")</f>
        <v>13</v>
      </c>
      <c r="F572" s="23"/>
      <c r="G572" s="3" t="str">
        <f t="shared" si="17"/>
        <v/>
      </c>
      <c r="H572" s="14"/>
    </row>
    <row r="573" spans="1:8" x14ac:dyDescent="0.2">
      <c r="A573" t="s">
        <v>49</v>
      </c>
      <c r="B573" t="s">
        <v>48</v>
      </c>
      <c r="C573" s="14">
        <v>2004</v>
      </c>
      <c r="D573" t="str">
        <f t="shared" si="16"/>
        <v>yes</v>
      </c>
      <c r="E573">
        <f>COUNTIF($B$8:$B$1006,"Argentina")</f>
        <v>22</v>
      </c>
      <c r="F573" s="23"/>
      <c r="G573" s="3" t="str">
        <f t="shared" si="17"/>
        <v/>
      </c>
      <c r="H573" s="14"/>
    </row>
    <row r="574" spans="1:8" x14ac:dyDescent="0.2">
      <c r="A574" t="s">
        <v>49</v>
      </c>
      <c r="B574" t="s">
        <v>52</v>
      </c>
      <c r="C574" s="14">
        <v>2004</v>
      </c>
      <c r="D574" t="str">
        <f t="shared" si="16"/>
        <v>yes</v>
      </c>
      <c r="E574">
        <f>COUNTIF($B$8:$B$1006,"Brazil")</f>
        <v>26</v>
      </c>
      <c r="F574" s="23"/>
      <c r="G574" s="3" t="str">
        <f t="shared" si="17"/>
        <v/>
      </c>
      <c r="H574" s="14"/>
    </row>
    <row r="575" spans="1:8" x14ac:dyDescent="0.2">
      <c r="A575" t="s">
        <v>49</v>
      </c>
      <c r="B575" t="s">
        <v>54</v>
      </c>
      <c r="C575" s="14">
        <v>2004</v>
      </c>
      <c r="D575" t="str">
        <f t="shared" si="16"/>
        <v>yes</v>
      </c>
      <c r="E575">
        <f>COUNTIF($B$8:$B$1006,"Colombia")</f>
        <v>18</v>
      </c>
      <c r="F575" s="23"/>
      <c r="G575" s="3" t="str">
        <f t="shared" si="17"/>
        <v/>
      </c>
      <c r="H575" s="14"/>
    </row>
    <row r="576" spans="1:8" x14ac:dyDescent="0.2">
      <c r="A576" t="s">
        <v>49</v>
      </c>
      <c r="B576" t="s">
        <v>55</v>
      </c>
      <c r="C576" s="14">
        <v>2004</v>
      </c>
      <c r="D576" t="str">
        <f t="shared" si="16"/>
        <v>yes</v>
      </c>
      <c r="E576">
        <f>COUNTIF($B$8:$B$1006,"Costa Rica")</f>
        <v>23</v>
      </c>
      <c r="F576" s="23"/>
      <c r="G576" s="3" t="str">
        <f t="shared" si="17"/>
        <v/>
      </c>
      <c r="H576" s="14"/>
    </row>
    <row r="577" spans="1:8" x14ac:dyDescent="0.2">
      <c r="A577" t="s">
        <v>49</v>
      </c>
      <c r="B577" t="s">
        <v>56</v>
      </c>
      <c r="C577" s="14">
        <v>2004</v>
      </c>
      <c r="D577" t="str">
        <f t="shared" si="16"/>
        <v>yes</v>
      </c>
      <c r="E577">
        <f>COUNTIF($B$8:$B$1006,"Dominican Republic")</f>
        <v>16</v>
      </c>
      <c r="F577" s="23"/>
      <c r="G577" s="3" t="str">
        <f t="shared" si="17"/>
        <v/>
      </c>
      <c r="H577" s="14"/>
    </row>
    <row r="578" spans="1:8" x14ac:dyDescent="0.2">
      <c r="A578" t="s">
        <v>49</v>
      </c>
      <c r="B578" t="s">
        <v>58</v>
      </c>
      <c r="C578" s="14">
        <v>2004</v>
      </c>
      <c r="D578" t="str">
        <f t="shared" si="16"/>
        <v>yes</v>
      </c>
      <c r="E578">
        <f>COUNTIF($B$8:$B$1006,"El Salvador")</f>
        <v>15</v>
      </c>
      <c r="F578" s="23"/>
      <c r="G578" s="3" t="str">
        <f t="shared" si="17"/>
        <v/>
      </c>
      <c r="H578" s="14"/>
    </row>
    <row r="579" spans="1:8" x14ac:dyDescent="0.2">
      <c r="A579" t="s">
        <v>49</v>
      </c>
      <c r="B579" t="s">
        <v>59</v>
      </c>
      <c r="C579" s="14">
        <v>2004</v>
      </c>
      <c r="D579" t="str">
        <f t="shared" si="16"/>
        <v>yes</v>
      </c>
      <c r="E579">
        <f>COUNTIF($B$8:$B$1006,"Guatemala")</f>
        <v>8</v>
      </c>
      <c r="F579" s="23"/>
      <c r="G579" s="3" t="str">
        <f t="shared" si="17"/>
        <v/>
      </c>
      <c r="H579" s="14"/>
    </row>
    <row r="580" spans="1:8" x14ac:dyDescent="0.2">
      <c r="A580" t="s">
        <v>49</v>
      </c>
      <c r="B580" t="s">
        <v>62</v>
      </c>
      <c r="C580" s="14">
        <v>2004</v>
      </c>
      <c r="D580" t="str">
        <f t="shared" si="16"/>
        <v>yes</v>
      </c>
      <c r="E580">
        <f>COUNTIF($B$8:$B$1006,"Honduras")</f>
        <v>21</v>
      </c>
      <c r="F580" s="23"/>
      <c r="G580" s="3" t="str">
        <f t="shared" si="17"/>
        <v/>
      </c>
      <c r="H580" s="14"/>
    </row>
    <row r="581" spans="1:8" x14ac:dyDescent="0.2">
      <c r="A581" t="s">
        <v>49</v>
      </c>
      <c r="B581" t="s">
        <v>63</v>
      </c>
      <c r="C581" s="14">
        <v>2004</v>
      </c>
      <c r="D581" t="str">
        <f t="shared" si="16"/>
        <v>yes</v>
      </c>
      <c r="E581">
        <f>COUNTIF($B$8:$B$1006,"Jamaica")</f>
        <v>8</v>
      </c>
      <c r="F581" s="23"/>
      <c r="G581" s="3" t="str">
        <f t="shared" si="17"/>
        <v/>
      </c>
      <c r="H581" s="14"/>
    </row>
    <row r="582" spans="1:8" x14ac:dyDescent="0.2">
      <c r="A582" t="s">
        <v>49</v>
      </c>
      <c r="B582" t="s">
        <v>64</v>
      </c>
      <c r="C582" s="14">
        <v>2004</v>
      </c>
      <c r="D582" t="str">
        <f t="shared" si="16"/>
        <v>yes</v>
      </c>
      <c r="E582">
        <f>COUNTIF($B$8:$B$1006,"Mexico")</f>
        <v>13</v>
      </c>
      <c r="F582" s="23"/>
      <c r="G582" s="3" t="str">
        <f t="shared" si="17"/>
        <v/>
      </c>
      <c r="H582" s="14"/>
    </row>
    <row r="583" spans="1:8" x14ac:dyDescent="0.2">
      <c r="A583" t="s">
        <v>49</v>
      </c>
      <c r="B583" t="s">
        <v>66</v>
      </c>
      <c r="C583" s="14">
        <v>2004</v>
      </c>
      <c r="D583" t="str">
        <f t="shared" si="16"/>
        <v>yes</v>
      </c>
      <c r="E583">
        <f>COUNTIF($B$8:$B$1006,"Panama")</f>
        <v>13</v>
      </c>
      <c r="F583" s="23"/>
      <c r="G583" s="3" t="str">
        <f t="shared" si="17"/>
        <v/>
      </c>
      <c r="H583" s="14"/>
    </row>
    <row r="584" spans="1:8" x14ac:dyDescent="0.2">
      <c r="A584" t="s">
        <v>49</v>
      </c>
      <c r="B584" t="s">
        <v>67</v>
      </c>
      <c r="C584" s="14">
        <v>2004</v>
      </c>
      <c r="D584" t="str">
        <f t="shared" ref="D584:D647" si="18">IF(F584="LSMS","no","yes")</f>
        <v>yes</v>
      </c>
      <c r="E584">
        <f>COUNTIF($B$8:$B$1006,"Paraguay")</f>
        <v>14</v>
      </c>
      <c r="F584" s="23"/>
      <c r="G584" s="3" t="str">
        <f t="shared" ref="G584:G647" si="19">IF(H584="","",1)</f>
        <v/>
      </c>
      <c r="H584" s="14"/>
    </row>
    <row r="585" spans="1:8" x14ac:dyDescent="0.2">
      <c r="A585" t="s">
        <v>49</v>
      </c>
      <c r="B585" t="s">
        <v>68</v>
      </c>
      <c r="C585" s="14">
        <v>2004</v>
      </c>
      <c r="D585" t="str">
        <f t="shared" si="18"/>
        <v>yes</v>
      </c>
      <c r="E585">
        <f>COUNTIF($B$8:$B$1006,"Peru")</f>
        <v>16</v>
      </c>
      <c r="F585" s="23"/>
      <c r="G585" s="3" t="str">
        <f t="shared" si="19"/>
        <v/>
      </c>
      <c r="H585" s="14"/>
    </row>
    <row r="586" spans="1:8" x14ac:dyDescent="0.2">
      <c r="A586" t="s">
        <v>49</v>
      </c>
      <c r="B586" t="s">
        <v>72</v>
      </c>
      <c r="C586" s="14">
        <v>2004</v>
      </c>
      <c r="D586" t="str">
        <f t="shared" si="18"/>
        <v>yes</v>
      </c>
      <c r="E586">
        <f>COUNTIF($B$8:$B$1006,"Uruguay")</f>
        <v>18</v>
      </c>
      <c r="F586" s="23"/>
      <c r="G586" s="3" t="str">
        <f t="shared" si="19"/>
        <v/>
      </c>
      <c r="H586" s="14"/>
    </row>
    <row r="587" spans="1:8" x14ac:dyDescent="0.2">
      <c r="A587" t="s">
        <v>49</v>
      </c>
      <c r="B587" t="s">
        <v>73</v>
      </c>
      <c r="C587" s="14">
        <v>2004</v>
      </c>
      <c r="D587" t="str">
        <f t="shared" si="18"/>
        <v>yes</v>
      </c>
      <c r="E587">
        <f>COUNTIF($B$8:$B$1006,"Venezuela")</f>
        <v>13</v>
      </c>
      <c r="F587" s="23"/>
      <c r="G587" s="3" t="str">
        <f t="shared" si="19"/>
        <v/>
      </c>
      <c r="H587" s="14"/>
    </row>
    <row r="588" spans="1:8" x14ac:dyDescent="0.2">
      <c r="A588" t="s">
        <v>74</v>
      </c>
      <c r="B588" t="s">
        <v>82</v>
      </c>
      <c r="C588" s="14">
        <v>2004</v>
      </c>
      <c r="D588" t="str">
        <f t="shared" si="18"/>
        <v>yes</v>
      </c>
      <c r="E588">
        <f>COUNTIF($B$8:$B$1006,"Syria")</f>
        <v>1</v>
      </c>
      <c r="F588" s="23"/>
      <c r="G588" s="3">
        <f t="shared" si="19"/>
        <v>1</v>
      </c>
      <c r="H588" s="14" t="s">
        <v>82</v>
      </c>
    </row>
    <row r="589" spans="1:8" x14ac:dyDescent="0.2">
      <c r="A589" t="s">
        <v>87</v>
      </c>
      <c r="B589" t="s">
        <v>90</v>
      </c>
      <c r="C589" s="14">
        <v>2004</v>
      </c>
      <c r="D589" t="str">
        <f t="shared" si="18"/>
        <v>yes</v>
      </c>
      <c r="E589">
        <f>COUNTIF($B$8:$B$1006,"Maldives")</f>
        <v>2</v>
      </c>
      <c r="F589" s="23"/>
      <c r="G589" s="3" t="str">
        <f t="shared" si="19"/>
        <v/>
      </c>
      <c r="H589" s="14"/>
    </row>
    <row r="590" spans="1:8" x14ac:dyDescent="0.2">
      <c r="A590" t="s">
        <v>95</v>
      </c>
      <c r="B590" t="s">
        <v>104</v>
      </c>
      <c r="C590" s="14">
        <v>2004</v>
      </c>
      <c r="D590" t="str">
        <f t="shared" si="18"/>
        <v>yes</v>
      </c>
      <c r="E590">
        <f>COUNTIF($B$8:$B$1006,"Comoros")</f>
        <v>1</v>
      </c>
      <c r="F590" s="23"/>
      <c r="G590" s="3">
        <f t="shared" si="19"/>
        <v>1</v>
      </c>
      <c r="H590" s="14" t="s">
        <v>104</v>
      </c>
    </row>
    <row r="591" spans="1:8" x14ac:dyDescent="0.2">
      <c r="A591" t="s">
        <v>95</v>
      </c>
      <c r="B591" t="s">
        <v>118</v>
      </c>
      <c r="C591" s="14">
        <v>2004</v>
      </c>
      <c r="D591" t="str">
        <f t="shared" si="18"/>
        <v>yes</v>
      </c>
      <c r="E591">
        <f>COUNTIF($B$8:$B$1006,"Malawi")</f>
        <v>2</v>
      </c>
      <c r="F591" s="23"/>
      <c r="G591" s="3" t="str">
        <f t="shared" si="19"/>
        <v/>
      </c>
      <c r="H591" s="14"/>
    </row>
    <row r="592" spans="1:8" x14ac:dyDescent="0.2">
      <c r="A592" t="s">
        <v>95</v>
      </c>
      <c r="B592" t="s">
        <v>120</v>
      </c>
      <c r="C592" s="14">
        <v>2004</v>
      </c>
      <c r="D592" t="str">
        <f t="shared" si="18"/>
        <v>yes</v>
      </c>
      <c r="E592">
        <f>COUNTIF($B$8:$B$1006,"Mauritania")</f>
        <v>6</v>
      </c>
      <c r="F592" s="23"/>
      <c r="G592" s="3" t="str">
        <f t="shared" si="19"/>
        <v/>
      </c>
      <c r="H592" s="14"/>
    </row>
    <row r="593" spans="1:8" x14ac:dyDescent="0.2">
      <c r="A593" t="s">
        <v>95</v>
      </c>
      <c r="B593" t="s">
        <v>122</v>
      </c>
      <c r="C593" s="14">
        <v>2004</v>
      </c>
      <c r="D593" t="str">
        <f t="shared" si="18"/>
        <v>yes</v>
      </c>
      <c r="E593">
        <f>COUNTIF($B$8:$B$1006,"Namibia")</f>
        <v>2</v>
      </c>
      <c r="F593" s="23"/>
      <c r="G593" s="3" t="str">
        <f t="shared" si="19"/>
        <v/>
      </c>
      <c r="H593" s="14"/>
    </row>
    <row r="594" spans="1:8" x14ac:dyDescent="0.2">
      <c r="A594" t="s">
        <v>95</v>
      </c>
      <c r="B594" t="s">
        <v>124</v>
      </c>
      <c r="C594" s="14">
        <v>2004</v>
      </c>
      <c r="D594" t="str">
        <f t="shared" si="18"/>
        <v>yes</v>
      </c>
      <c r="E594">
        <f>COUNTIF($B$8:$B$1006,"Nigeria")</f>
        <v>5</v>
      </c>
      <c r="F594" s="23"/>
      <c r="G594" s="3" t="str">
        <f t="shared" si="19"/>
        <v/>
      </c>
      <c r="H594" s="14"/>
    </row>
    <row r="595" spans="1:8" x14ac:dyDescent="0.2">
      <c r="A595" t="s">
        <v>95</v>
      </c>
      <c r="B595" t="s">
        <v>136</v>
      </c>
      <c r="C595" s="14">
        <v>2004</v>
      </c>
      <c r="D595" t="str">
        <f t="shared" si="18"/>
        <v>yes</v>
      </c>
      <c r="E595">
        <f>COUNTIF($B$8:$B$1006,"Zambia")</f>
        <v>7</v>
      </c>
      <c r="F595" s="23"/>
      <c r="G595" s="3" t="str">
        <f t="shared" si="19"/>
        <v/>
      </c>
      <c r="H595" s="14"/>
    </row>
    <row r="596" spans="1:8" x14ac:dyDescent="0.2">
      <c r="A596" t="s">
        <v>4</v>
      </c>
      <c r="B596" t="s">
        <v>7</v>
      </c>
      <c r="C596" s="14">
        <v>2005</v>
      </c>
      <c r="D596" t="str">
        <f t="shared" si="18"/>
        <v>yes</v>
      </c>
      <c r="E596">
        <f>COUNTIF($B$8:$B$1006,"China")</f>
        <v>17</v>
      </c>
      <c r="F596" s="23"/>
      <c r="G596" s="3" t="str">
        <f t="shared" si="19"/>
        <v/>
      </c>
      <c r="H596" s="14"/>
    </row>
    <row r="597" spans="1:8" x14ac:dyDescent="0.2">
      <c r="A597" t="s">
        <v>4</v>
      </c>
      <c r="B597" t="s">
        <v>10</v>
      </c>
      <c r="C597" s="14">
        <v>2005</v>
      </c>
      <c r="D597" t="str">
        <f t="shared" si="18"/>
        <v>yes</v>
      </c>
      <c r="E597">
        <f>COUNTIF($B$8:$B$1006,"Indonesia")</f>
        <v>14</v>
      </c>
      <c r="F597" s="23"/>
      <c r="G597" s="3" t="str">
        <f t="shared" si="19"/>
        <v/>
      </c>
      <c r="H597" s="14"/>
    </row>
    <row r="598" spans="1:8" x14ac:dyDescent="0.2">
      <c r="A598" t="s">
        <v>19</v>
      </c>
      <c r="B598" t="s">
        <v>20</v>
      </c>
      <c r="C598" s="14">
        <v>2005</v>
      </c>
      <c r="D598" t="str">
        <f t="shared" si="18"/>
        <v>yes</v>
      </c>
      <c r="E598">
        <f>COUNTIF($B$8:$B$1006,"Albania")</f>
        <v>5</v>
      </c>
      <c r="F598" s="23"/>
      <c r="G598" s="3" t="str">
        <f t="shared" si="19"/>
        <v/>
      </c>
      <c r="H598" s="14"/>
    </row>
    <row r="599" spans="1:8" x14ac:dyDescent="0.2">
      <c r="A599" t="s">
        <v>19</v>
      </c>
      <c r="B599" t="s">
        <v>21</v>
      </c>
      <c r="C599" s="14">
        <v>2005</v>
      </c>
      <c r="D599" t="str">
        <f t="shared" si="18"/>
        <v>yes</v>
      </c>
      <c r="E599">
        <f>COUNTIF($B$8:$B$1006,"Armenia")</f>
        <v>10</v>
      </c>
      <c r="F599" s="23"/>
      <c r="G599" s="3" t="str">
        <f t="shared" si="19"/>
        <v/>
      </c>
      <c r="H599" s="14"/>
    </row>
    <row r="600" spans="1:8" x14ac:dyDescent="0.2">
      <c r="A600" t="s">
        <v>19</v>
      </c>
      <c r="B600" t="s">
        <v>23</v>
      </c>
      <c r="C600" s="14">
        <v>2005</v>
      </c>
      <c r="D600" t="str">
        <f t="shared" si="18"/>
        <v>yes</v>
      </c>
      <c r="E600">
        <f>COUNTIF($B$8:$B$1006,"Belarus")</f>
        <v>12</v>
      </c>
      <c r="F600" s="23"/>
      <c r="G600" s="3" t="str">
        <f t="shared" si="19"/>
        <v/>
      </c>
      <c r="H600" s="14"/>
    </row>
    <row r="601" spans="1:8" x14ac:dyDescent="0.2">
      <c r="A601" t="s">
        <v>19</v>
      </c>
      <c r="B601" t="s">
        <v>29</v>
      </c>
      <c r="C601" s="14">
        <v>2005</v>
      </c>
      <c r="D601" t="str">
        <f t="shared" si="18"/>
        <v>yes</v>
      </c>
      <c r="E601">
        <f>COUNTIF($B$8:$B$1006,"Georgia")</f>
        <v>12</v>
      </c>
      <c r="F601" s="23"/>
      <c r="G601" s="3" t="str">
        <f t="shared" si="19"/>
        <v/>
      </c>
      <c r="H601" s="14"/>
    </row>
    <row r="602" spans="1:8" x14ac:dyDescent="0.2">
      <c r="A602" t="s">
        <v>19</v>
      </c>
      <c r="B602" t="s">
        <v>32</v>
      </c>
      <c r="C602" s="14">
        <v>2005</v>
      </c>
      <c r="D602" t="str">
        <f t="shared" si="18"/>
        <v>yes</v>
      </c>
      <c r="E602">
        <f>COUNTIF($B$8:$B$1006,"Kyrgyz Republic")</f>
        <v>10</v>
      </c>
      <c r="F602" s="23"/>
      <c r="G602" s="3" t="str">
        <f t="shared" si="19"/>
        <v/>
      </c>
      <c r="H602" s="14"/>
    </row>
    <row r="603" spans="1:8" x14ac:dyDescent="0.2">
      <c r="A603" t="s">
        <v>19</v>
      </c>
      <c r="B603" t="s">
        <v>35</v>
      </c>
      <c r="C603" s="14">
        <v>2005</v>
      </c>
      <c r="D603" t="str">
        <f t="shared" si="18"/>
        <v>yes</v>
      </c>
      <c r="E603">
        <f>COUNTIF($B$8:$B$1006,"Macedonia")</f>
        <v>9</v>
      </c>
      <c r="F603" s="23"/>
      <c r="G603" s="3" t="str">
        <f t="shared" si="19"/>
        <v/>
      </c>
      <c r="H603" s="14"/>
    </row>
    <row r="604" spans="1:8" x14ac:dyDescent="0.2">
      <c r="A604" t="s">
        <v>19</v>
      </c>
      <c r="B604" t="s">
        <v>36</v>
      </c>
      <c r="C604" s="14">
        <v>2005</v>
      </c>
      <c r="D604" t="str">
        <f t="shared" si="18"/>
        <v>yes</v>
      </c>
      <c r="E604">
        <f>COUNTIF($B$8:$B$1006,"Moldova")</f>
        <v>15</v>
      </c>
      <c r="F604" s="23"/>
      <c r="G604" s="3" t="str">
        <f t="shared" si="19"/>
        <v/>
      </c>
      <c r="H604" s="14"/>
    </row>
    <row r="605" spans="1:8" x14ac:dyDescent="0.2">
      <c r="A605" t="s">
        <v>19</v>
      </c>
      <c r="B605" t="s">
        <v>37</v>
      </c>
      <c r="C605" s="14">
        <v>2005</v>
      </c>
      <c r="D605" t="str">
        <f t="shared" si="18"/>
        <v>yes</v>
      </c>
      <c r="E605">
        <f>COUNTIF($B$8:$B$1006,"Montenegro")</f>
        <v>4</v>
      </c>
      <c r="F605" s="23"/>
      <c r="G605" s="3">
        <f t="shared" si="19"/>
        <v>1</v>
      </c>
      <c r="H605" s="14" t="s">
        <v>37</v>
      </c>
    </row>
    <row r="606" spans="1:8" x14ac:dyDescent="0.2">
      <c r="A606" t="s">
        <v>19</v>
      </c>
      <c r="B606" t="s">
        <v>38</v>
      </c>
      <c r="C606" s="14">
        <v>2005</v>
      </c>
      <c r="D606" t="str">
        <f t="shared" si="18"/>
        <v>yes</v>
      </c>
      <c r="E606">
        <f>COUNTIF($B$8:$B$1006,"Poland")</f>
        <v>17</v>
      </c>
      <c r="F606" s="23"/>
      <c r="G606" s="3" t="str">
        <f t="shared" si="19"/>
        <v/>
      </c>
      <c r="H606" s="14"/>
    </row>
    <row r="607" spans="1:8" x14ac:dyDescent="0.2">
      <c r="A607" t="s">
        <v>19</v>
      </c>
      <c r="B607" t="s">
        <v>39</v>
      </c>
      <c r="C607" s="14">
        <v>2005</v>
      </c>
      <c r="D607" t="str">
        <f t="shared" si="18"/>
        <v>yes</v>
      </c>
      <c r="E607">
        <f>COUNTIF($B$8:$B$1006,"Romania")</f>
        <v>14</v>
      </c>
      <c r="F607" s="23"/>
      <c r="G607" s="3" t="str">
        <f t="shared" si="19"/>
        <v/>
      </c>
      <c r="H607" s="14"/>
    </row>
    <row r="608" spans="1:8" x14ac:dyDescent="0.2">
      <c r="A608" t="s">
        <v>19</v>
      </c>
      <c r="B608" t="s">
        <v>40</v>
      </c>
      <c r="C608" s="14">
        <v>2005</v>
      </c>
      <c r="D608" t="str">
        <f t="shared" si="18"/>
        <v>yes</v>
      </c>
      <c r="E608">
        <f>COUNTIF($B$8:$B$1006,"Russian Federation")</f>
        <v>13</v>
      </c>
      <c r="F608" s="23"/>
      <c r="G608" s="3" t="str">
        <f t="shared" si="19"/>
        <v/>
      </c>
      <c r="H608" s="14"/>
    </row>
    <row r="609" spans="1:8" x14ac:dyDescent="0.2">
      <c r="A609" t="s">
        <v>19</v>
      </c>
      <c r="B609" t="s">
        <v>41</v>
      </c>
      <c r="C609" s="14">
        <v>2005</v>
      </c>
      <c r="D609" t="str">
        <f t="shared" si="18"/>
        <v>yes</v>
      </c>
      <c r="E609">
        <f>COUNTIF($B$8:$B$1006,"Serbia")</f>
        <v>8</v>
      </c>
      <c r="F609" s="23"/>
      <c r="G609" s="3" t="str">
        <f t="shared" si="19"/>
        <v/>
      </c>
      <c r="H609" s="14"/>
    </row>
    <row r="610" spans="1:8" x14ac:dyDescent="0.2">
      <c r="A610" t="s">
        <v>19</v>
      </c>
      <c r="B610" t="s">
        <v>42</v>
      </c>
      <c r="C610" s="14">
        <v>2005</v>
      </c>
      <c r="D610" t="str">
        <f t="shared" si="18"/>
        <v>yes</v>
      </c>
      <c r="E610">
        <f>COUNTIF($B$8:$B$1006,"Slovak Republic")</f>
        <v>9</v>
      </c>
      <c r="F610" s="23"/>
      <c r="G610" s="3" t="str">
        <f t="shared" si="19"/>
        <v/>
      </c>
      <c r="H610" s="14"/>
    </row>
    <row r="611" spans="1:8" x14ac:dyDescent="0.2">
      <c r="A611" t="s">
        <v>19</v>
      </c>
      <c r="B611" t="s">
        <v>45</v>
      </c>
      <c r="C611" s="14">
        <v>2005</v>
      </c>
      <c r="D611" t="str">
        <f t="shared" si="18"/>
        <v>yes</v>
      </c>
      <c r="E611">
        <f>COUNTIF($B$8:$B$1006,"Turkey")</f>
        <v>9</v>
      </c>
      <c r="F611" s="23"/>
      <c r="G611" s="3" t="str">
        <f t="shared" si="19"/>
        <v/>
      </c>
      <c r="H611" s="14"/>
    </row>
    <row r="612" spans="1:8" x14ac:dyDescent="0.2">
      <c r="A612" t="s">
        <v>19</v>
      </c>
      <c r="B612" t="s">
        <v>47</v>
      </c>
      <c r="C612" s="14">
        <v>2005</v>
      </c>
      <c r="D612" t="str">
        <f t="shared" si="18"/>
        <v>yes</v>
      </c>
      <c r="E612">
        <f>COUNTIF($B$8:$B$1006,"Ukraine")</f>
        <v>13</v>
      </c>
      <c r="F612" s="23"/>
      <c r="G612" s="3" t="str">
        <f t="shared" si="19"/>
        <v/>
      </c>
      <c r="H612" s="14"/>
    </row>
    <row r="613" spans="1:8" x14ac:dyDescent="0.2">
      <c r="A613" t="s">
        <v>49</v>
      </c>
      <c r="B613" t="s">
        <v>48</v>
      </c>
      <c r="C613" s="14">
        <v>2005</v>
      </c>
      <c r="D613" t="str">
        <f t="shared" si="18"/>
        <v>yes</v>
      </c>
      <c r="E613">
        <f>COUNTIF($B$8:$B$1006,"Argentina")</f>
        <v>22</v>
      </c>
      <c r="F613" s="23"/>
      <c r="G613" s="3" t="str">
        <f t="shared" si="19"/>
        <v/>
      </c>
      <c r="H613" s="14"/>
    </row>
    <row r="614" spans="1:8" x14ac:dyDescent="0.2">
      <c r="A614" t="s">
        <v>49</v>
      </c>
      <c r="B614" t="s">
        <v>51</v>
      </c>
      <c r="C614" s="14">
        <v>2005</v>
      </c>
      <c r="D614" t="str">
        <f t="shared" si="18"/>
        <v>yes</v>
      </c>
      <c r="E614">
        <f>COUNTIF($B$8:$B$1006,"Bolivia")</f>
        <v>11</v>
      </c>
      <c r="F614" s="23"/>
      <c r="G614" s="3" t="str">
        <f t="shared" si="19"/>
        <v/>
      </c>
      <c r="H614" s="14"/>
    </row>
    <row r="615" spans="1:8" x14ac:dyDescent="0.2">
      <c r="A615" t="s">
        <v>49</v>
      </c>
      <c r="B615" t="s">
        <v>52</v>
      </c>
      <c r="C615" s="14">
        <v>2005</v>
      </c>
      <c r="D615" t="str">
        <f t="shared" si="18"/>
        <v>yes</v>
      </c>
      <c r="E615">
        <f>COUNTIF($B$8:$B$1006,"Brazil")</f>
        <v>26</v>
      </c>
      <c r="F615" s="23"/>
      <c r="G615" s="3" t="str">
        <f t="shared" si="19"/>
        <v/>
      </c>
      <c r="H615" s="14"/>
    </row>
    <row r="616" spans="1:8" x14ac:dyDescent="0.2">
      <c r="A616" t="s">
        <v>49</v>
      </c>
      <c r="B616" t="s">
        <v>54</v>
      </c>
      <c r="C616" s="14">
        <v>2005</v>
      </c>
      <c r="D616" t="str">
        <f t="shared" si="18"/>
        <v>yes</v>
      </c>
      <c r="E616">
        <f>COUNTIF($B$8:$B$1006,"Colombia")</f>
        <v>18</v>
      </c>
      <c r="F616" s="23"/>
      <c r="G616" s="3" t="str">
        <f t="shared" si="19"/>
        <v/>
      </c>
      <c r="H616" s="14"/>
    </row>
    <row r="617" spans="1:8" x14ac:dyDescent="0.2">
      <c r="A617" t="s">
        <v>49</v>
      </c>
      <c r="B617" t="s">
        <v>55</v>
      </c>
      <c r="C617" s="14">
        <v>2005</v>
      </c>
      <c r="D617" t="str">
        <f t="shared" si="18"/>
        <v>yes</v>
      </c>
      <c r="E617">
        <f>COUNTIF($B$8:$B$1006,"Costa Rica")</f>
        <v>23</v>
      </c>
      <c r="F617" s="23"/>
      <c r="G617" s="3" t="str">
        <f t="shared" si="19"/>
        <v/>
      </c>
      <c r="H617" s="14"/>
    </row>
    <row r="618" spans="1:8" x14ac:dyDescent="0.2">
      <c r="A618" t="s">
        <v>49</v>
      </c>
      <c r="B618" t="s">
        <v>56</v>
      </c>
      <c r="C618" s="14">
        <v>2005</v>
      </c>
      <c r="D618" t="str">
        <f t="shared" si="18"/>
        <v>yes</v>
      </c>
      <c r="E618">
        <f>COUNTIF($B$8:$B$1006,"Dominican Republic")</f>
        <v>16</v>
      </c>
      <c r="F618" s="23"/>
      <c r="G618" s="3" t="str">
        <f t="shared" si="19"/>
        <v/>
      </c>
      <c r="H618" s="14"/>
    </row>
    <row r="619" spans="1:8" x14ac:dyDescent="0.2">
      <c r="A619" t="s">
        <v>49</v>
      </c>
      <c r="B619" t="s">
        <v>57</v>
      </c>
      <c r="C619" s="14">
        <v>2005</v>
      </c>
      <c r="D619" t="str">
        <f t="shared" si="18"/>
        <v>yes</v>
      </c>
      <c r="E619">
        <f>COUNTIF($B$8:$B$1006,"Ecuador")</f>
        <v>13</v>
      </c>
      <c r="F619" s="23"/>
      <c r="G619" s="3" t="str">
        <f t="shared" si="19"/>
        <v/>
      </c>
      <c r="H619" s="14"/>
    </row>
    <row r="620" spans="1:8" x14ac:dyDescent="0.2">
      <c r="A620" t="s">
        <v>49</v>
      </c>
      <c r="B620" t="s">
        <v>58</v>
      </c>
      <c r="C620" s="14">
        <v>2005</v>
      </c>
      <c r="D620" t="str">
        <f t="shared" si="18"/>
        <v>yes</v>
      </c>
      <c r="E620">
        <f>COUNTIF($B$8:$B$1006,"El Salvador")</f>
        <v>15</v>
      </c>
      <c r="F620" s="23"/>
      <c r="G620" s="3" t="str">
        <f t="shared" si="19"/>
        <v/>
      </c>
      <c r="H620" s="14"/>
    </row>
    <row r="621" spans="1:8" x14ac:dyDescent="0.2">
      <c r="A621" t="s">
        <v>49</v>
      </c>
      <c r="B621" t="s">
        <v>62</v>
      </c>
      <c r="C621" s="14">
        <v>2005</v>
      </c>
      <c r="D621" t="str">
        <f t="shared" si="18"/>
        <v>yes</v>
      </c>
      <c r="E621">
        <f>COUNTIF($B$8:$B$1006,"Honduras")</f>
        <v>21</v>
      </c>
      <c r="F621" s="23"/>
      <c r="G621" s="3" t="str">
        <f t="shared" si="19"/>
        <v/>
      </c>
      <c r="H621" s="14"/>
    </row>
    <row r="622" spans="1:8" x14ac:dyDescent="0.2">
      <c r="A622" t="s">
        <v>49</v>
      </c>
      <c r="B622" t="s">
        <v>64</v>
      </c>
      <c r="C622" s="14">
        <v>2005</v>
      </c>
      <c r="D622" t="str">
        <f t="shared" si="18"/>
        <v>yes</v>
      </c>
      <c r="E622">
        <f>COUNTIF($B$8:$B$1006,"Mexico")</f>
        <v>13</v>
      </c>
      <c r="F622" s="23"/>
      <c r="G622" s="3" t="str">
        <f t="shared" si="19"/>
        <v/>
      </c>
      <c r="H622" s="14"/>
    </row>
    <row r="623" spans="1:8" x14ac:dyDescent="0.2">
      <c r="A623" t="s">
        <v>49</v>
      </c>
      <c r="B623" t="s">
        <v>65</v>
      </c>
      <c r="C623" s="14">
        <v>2005</v>
      </c>
      <c r="D623" t="str">
        <f t="shared" si="18"/>
        <v>yes</v>
      </c>
      <c r="E623">
        <f>COUNTIF($B$8:$B$1006,"Nicaragua")</f>
        <v>4</v>
      </c>
      <c r="F623" s="23"/>
      <c r="G623" s="3" t="str">
        <f t="shared" si="19"/>
        <v/>
      </c>
      <c r="H623" s="14"/>
    </row>
    <row r="624" spans="1:8" x14ac:dyDescent="0.2">
      <c r="A624" t="s">
        <v>49</v>
      </c>
      <c r="B624" t="s">
        <v>66</v>
      </c>
      <c r="C624" s="14">
        <v>2005</v>
      </c>
      <c r="D624" t="str">
        <f t="shared" si="18"/>
        <v>yes</v>
      </c>
      <c r="E624">
        <f>COUNTIF($B$8:$B$1006,"Panama")</f>
        <v>13</v>
      </c>
      <c r="F624" s="23"/>
      <c r="G624" s="3" t="str">
        <f t="shared" si="19"/>
        <v/>
      </c>
      <c r="H624" s="14"/>
    </row>
    <row r="625" spans="1:8" x14ac:dyDescent="0.2">
      <c r="A625" t="s">
        <v>49</v>
      </c>
      <c r="B625" t="s">
        <v>67</v>
      </c>
      <c r="C625" s="14">
        <v>2005</v>
      </c>
      <c r="D625" t="str">
        <f t="shared" si="18"/>
        <v>yes</v>
      </c>
      <c r="E625">
        <f>COUNTIF($B$8:$B$1006,"Paraguay")</f>
        <v>14</v>
      </c>
      <c r="F625" s="23"/>
      <c r="G625" s="3" t="str">
        <f t="shared" si="19"/>
        <v/>
      </c>
      <c r="H625" s="14"/>
    </row>
    <row r="626" spans="1:8" x14ac:dyDescent="0.2">
      <c r="A626" t="s">
        <v>49</v>
      </c>
      <c r="B626" t="s">
        <v>68</v>
      </c>
      <c r="C626" s="14">
        <v>2005</v>
      </c>
      <c r="D626" t="str">
        <f t="shared" si="18"/>
        <v>yes</v>
      </c>
      <c r="E626">
        <f>COUNTIF($B$8:$B$1006,"Peru")</f>
        <v>16</v>
      </c>
      <c r="F626" s="23"/>
      <c r="G626" s="3" t="str">
        <f t="shared" si="19"/>
        <v/>
      </c>
      <c r="H626" s="14"/>
    </row>
    <row r="627" spans="1:8" x14ac:dyDescent="0.2">
      <c r="A627" t="s">
        <v>49</v>
      </c>
      <c r="B627" t="s">
        <v>72</v>
      </c>
      <c r="C627" s="14">
        <v>2005</v>
      </c>
      <c r="D627" t="str">
        <f t="shared" si="18"/>
        <v>yes</v>
      </c>
      <c r="E627">
        <f>COUNTIF($B$8:$B$1006,"Uruguay")</f>
        <v>18</v>
      </c>
      <c r="F627" s="23"/>
      <c r="G627" s="3" t="str">
        <f t="shared" si="19"/>
        <v/>
      </c>
      <c r="H627" s="14"/>
    </row>
    <row r="628" spans="1:8" x14ac:dyDescent="0.2">
      <c r="A628" t="s">
        <v>49</v>
      </c>
      <c r="B628" t="s">
        <v>73</v>
      </c>
      <c r="C628" s="14">
        <v>2005</v>
      </c>
      <c r="D628" t="str">
        <f t="shared" si="18"/>
        <v>yes</v>
      </c>
      <c r="E628">
        <f>COUNTIF($B$8:$B$1006,"Venezuela")</f>
        <v>13</v>
      </c>
      <c r="F628" s="23"/>
      <c r="G628" s="3" t="str">
        <f t="shared" si="19"/>
        <v/>
      </c>
      <c r="H628" s="14"/>
    </row>
    <row r="629" spans="1:8" x14ac:dyDescent="0.2">
      <c r="A629" t="s">
        <v>74</v>
      </c>
      <c r="B629" t="s">
        <v>77</v>
      </c>
      <c r="C629" s="14">
        <v>2005</v>
      </c>
      <c r="D629" t="str">
        <f t="shared" si="18"/>
        <v>yes</v>
      </c>
      <c r="E629">
        <f>COUNTIF($B$8:$B$1006,"Egypt")</f>
        <v>5</v>
      </c>
      <c r="F629" s="23"/>
      <c r="G629" s="3" t="str">
        <f t="shared" si="19"/>
        <v/>
      </c>
      <c r="H629" s="14"/>
    </row>
    <row r="630" spans="1:8" x14ac:dyDescent="0.2">
      <c r="A630" t="s">
        <v>74</v>
      </c>
      <c r="B630" t="s">
        <v>78</v>
      </c>
      <c r="C630" s="14">
        <v>2005</v>
      </c>
      <c r="D630" t="str">
        <f t="shared" si="18"/>
        <v>yes</v>
      </c>
      <c r="E630">
        <f>COUNTIF($B$8:$B$1006,"Iran")</f>
        <v>5</v>
      </c>
      <c r="F630" s="23"/>
      <c r="G630" s="3" t="str">
        <f t="shared" si="19"/>
        <v/>
      </c>
      <c r="H630" s="14"/>
    </row>
    <row r="631" spans="1:8" x14ac:dyDescent="0.2">
      <c r="A631" t="s">
        <v>74</v>
      </c>
      <c r="B631" t="s">
        <v>83</v>
      </c>
      <c r="C631" s="14">
        <v>2005</v>
      </c>
      <c r="D631" t="str">
        <f t="shared" si="18"/>
        <v>yes</v>
      </c>
      <c r="E631">
        <f>COUNTIF($B$8:$B$1006,"Tunisia")</f>
        <v>5</v>
      </c>
      <c r="F631" s="23"/>
      <c r="G631" s="3" t="str">
        <f t="shared" si="19"/>
        <v/>
      </c>
      <c r="H631" s="14"/>
    </row>
    <row r="632" spans="1:8" x14ac:dyDescent="0.2">
      <c r="A632" t="s">
        <v>74</v>
      </c>
      <c r="B632" t="s">
        <v>85</v>
      </c>
      <c r="C632" s="14">
        <v>2005</v>
      </c>
      <c r="D632" t="str">
        <f t="shared" si="18"/>
        <v>yes</v>
      </c>
      <c r="E632">
        <f>COUNTIF($B$8:$B$1006,"Yemen")</f>
        <v>2</v>
      </c>
      <c r="F632" s="23"/>
      <c r="G632" s="3" t="str">
        <f t="shared" si="19"/>
        <v/>
      </c>
      <c r="H632" s="14"/>
    </row>
    <row r="633" spans="1:8" x14ac:dyDescent="0.2">
      <c r="A633" t="s">
        <v>87</v>
      </c>
      <c r="B633" t="s">
        <v>86</v>
      </c>
      <c r="C633" s="14">
        <v>2005</v>
      </c>
      <c r="D633" t="str">
        <f t="shared" si="18"/>
        <v>yes</v>
      </c>
      <c r="E633">
        <f>COUNTIF($B$8:$B$1006,"Bangladesh")</f>
        <v>8</v>
      </c>
      <c r="F633" s="23"/>
      <c r="G633" s="3" t="str">
        <f t="shared" si="19"/>
        <v/>
      </c>
      <c r="H633" s="14"/>
    </row>
    <row r="634" spans="1:8" x14ac:dyDescent="0.2">
      <c r="A634" t="s">
        <v>87</v>
      </c>
      <c r="B634" t="s">
        <v>89</v>
      </c>
      <c r="C634" s="14">
        <v>2005</v>
      </c>
      <c r="D634" t="str">
        <f t="shared" si="18"/>
        <v>yes</v>
      </c>
      <c r="E634">
        <f>COUNTIF($B$8:$B$1006,"India")</f>
        <v>5</v>
      </c>
      <c r="F634" s="23"/>
      <c r="G634" s="3" t="str">
        <f t="shared" si="19"/>
        <v/>
      </c>
      <c r="H634" s="14"/>
    </row>
    <row r="635" spans="1:8" x14ac:dyDescent="0.2">
      <c r="A635" t="s">
        <v>87</v>
      </c>
      <c r="B635" t="s">
        <v>92</v>
      </c>
      <c r="C635" s="14">
        <v>2005</v>
      </c>
      <c r="D635" t="str">
        <f t="shared" si="18"/>
        <v>yes</v>
      </c>
      <c r="E635">
        <f>COUNTIF($B$8:$B$1006,"Pakistan")</f>
        <v>8</v>
      </c>
      <c r="F635" s="23"/>
      <c r="G635" s="3" t="str">
        <f t="shared" si="19"/>
        <v/>
      </c>
      <c r="H635" s="14"/>
    </row>
    <row r="636" spans="1:8" x14ac:dyDescent="0.2">
      <c r="A636" t="s">
        <v>95</v>
      </c>
      <c r="B636" t="s">
        <v>105</v>
      </c>
      <c r="C636" s="14">
        <v>2005</v>
      </c>
      <c r="D636" t="str">
        <f t="shared" si="18"/>
        <v>yes</v>
      </c>
      <c r="E636">
        <f>COUNTIF($B$8:$B$1006,"Congo, Dem. Rep")</f>
        <v>1</v>
      </c>
      <c r="F636" s="23"/>
      <c r="G636" s="3">
        <f t="shared" si="19"/>
        <v>1</v>
      </c>
      <c r="H636" s="14" t="s">
        <v>105</v>
      </c>
    </row>
    <row r="637" spans="1:8" x14ac:dyDescent="0.2">
      <c r="A637" t="s">
        <v>95</v>
      </c>
      <c r="B637" t="s">
        <v>106</v>
      </c>
      <c r="C637" s="14">
        <v>2005</v>
      </c>
      <c r="D637" t="str">
        <f t="shared" si="18"/>
        <v>yes</v>
      </c>
      <c r="E637">
        <f>COUNTIF($B$8:$B$1006,"Congo, Rep")</f>
        <v>1</v>
      </c>
      <c r="F637" s="23"/>
      <c r="G637" s="3">
        <f t="shared" si="19"/>
        <v>1</v>
      </c>
      <c r="H637" s="14" t="s">
        <v>106</v>
      </c>
    </row>
    <row r="638" spans="1:8" x14ac:dyDescent="0.2">
      <c r="A638" t="s">
        <v>95</v>
      </c>
      <c r="B638" t="s">
        <v>108</v>
      </c>
      <c r="C638" s="14">
        <v>2005</v>
      </c>
      <c r="D638" t="str">
        <f t="shared" si="18"/>
        <v>yes</v>
      </c>
      <c r="E638">
        <f>COUNTIF($B$8:$B$1006,"Ethiopia")</f>
        <v>4</v>
      </c>
      <c r="F638" s="23"/>
      <c r="G638" s="3" t="str">
        <f t="shared" si="19"/>
        <v/>
      </c>
      <c r="H638" s="14"/>
    </row>
    <row r="639" spans="1:8" x14ac:dyDescent="0.2">
      <c r="A639" t="s">
        <v>95</v>
      </c>
      <c r="B639" t="s">
        <v>109</v>
      </c>
      <c r="C639" s="14">
        <v>2005</v>
      </c>
      <c r="D639" t="str">
        <f t="shared" si="18"/>
        <v>yes</v>
      </c>
      <c r="E639">
        <f>COUNTIF($B$8:$B$1006,"Gabon")</f>
        <v>1</v>
      </c>
      <c r="F639" s="23"/>
      <c r="G639" s="3">
        <f t="shared" si="19"/>
        <v>1</v>
      </c>
      <c r="H639" s="14" t="s">
        <v>109</v>
      </c>
    </row>
    <row r="640" spans="1:8" x14ac:dyDescent="0.2">
      <c r="A640" t="s">
        <v>95</v>
      </c>
      <c r="B640" t="s">
        <v>114</v>
      </c>
      <c r="C640" s="14">
        <v>2005</v>
      </c>
      <c r="D640" t="str">
        <f t="shared" si="18"/>
        <v>yes</v>
      </c>
      <c r="E640">
        <f>COUNTIF($B$8:$B$1006,"Kenya")</f>
        <v>4</v>
      </c>
      <c r="F640" s="23"/>
      <c r="G640" s="3" t="str">
        <f t="shared" si="19"/>
        <v/>
      </c>
      <c r="H640" s="14"/>
    </row>
    <row r="641" spans="1:8" x14ac:dyDescent="0.2">
      <c r="A641" t="s">
        <v>95</v>
      </c>
      <c r="B641" t="s">
        <v>117</v>
      </c>
      <c r="C641" s="14">
        <v>2005</v>
      </c>
      <c r="D641" t="str">
        <f t="shared" si="18"/>
        <v>yes</v>
      </c>
      <c r="E641">
        <f>COUNTIF($B$8:$B$1006,"Madagascar")</f>
        <v>7</v>
      </c>
      <c r="F641" s="23"/>
      <c r="G641" s="3" t="str">
        <f t="shared" si="19"/>
        <v/>
      </c>
      <c r="H641" s="14"/>
    </row>
    <row r="642" spans="1:8" x14ac:dyDescent="0.2">
      <c r="A642" t="s">
        <v>95</v>
      </c>
      <c r="B642" t="s">
        <v>123</v>
      </c>
      <c r="C642" s="14">
        <v>2005</v>
      </c>
      <c r="D642" t="str">
        <f t="shared" si="18"/>
        <v>yes</v>
      </c>
      <c r="E642">
        <f>COUNTIF($B$8:$B$1006,"Niger")</f>
        <v>4</v>
      </c>
      <c r="F642" s="23"/>
      <c r="G642" s="3" t="str">
        <f t="shared" si="19"/>
        <v/>
      </c>
      <c r="H642" s="14"/>
    </row>
    <row r="643" spans="1:8" x14ac:dyDescent="0.2">
      <c r="A643" t="s">
        <v>95</v>
      </c>
      <c r="B643" t="s">
        <v>127</v>
      </c>
      <c r="C643" s="14">
        <v>2005</v>
      </c>
      <c r="D643" t="str">
        <f t="shared" si="18"/>
        <v>yes</v>
      </c>
      <c r="E643">
        <f>COUNTIF($B$8:$B$1006,"Senegal")</f>
        <v>4</v>
      </c>
      <c r="F643" s="23"/>
      <c r="G643" s="3" t="str">
        <f t="shared" si="19"/>
        <v/>
      </c>
      <c r="H643" s="14"/>
    </row>
    <row r="644" spans="1:8" x14ac:dyDescent="0.2">
      <c r="A644" t="s">
        <v>4</v>
      </c>
      <c r="B644" t="s">
        <v>10</v>
      </c>
      <c r="C644" s="14">
        <v>2006</v>
      </c>
      <c r="D644" t="str">
        <f t="shared" si="18"/>
        <v>yes</v>
      </c>
      <c r="E644">
        <f>COUNTIF($B$8:$B$1006,"Indonesia")</f>
        <v>14</v>
      </c>
      <c r="F644" s="23"/>
      <c r="G644" s="3" t="str">
        <f t="shared" si="19"/>
        <v/>
      </c>
      <c r="H644" s="14"/>
    </row>
    <row r="645" spans="1:8" x14ac:dyDescent="0.2">
      <c r="A645" t="s">
        <v>4</v>
      </c>
      <c r="B645" t="s">
        <v>15</v>
      </c>
      <c r="C645" s="14">
        <v>2006</v>
      </c>
      <c r="D645" t="str">
        <f t="shared" si="18"/>
        <v>yes</v>
      </c>
      <c r="E645">
        <f>COUNTIF($B$8:$B$1006,"Philippines")</f>
        <v>9</v>
      </c>
      <c r="F645" s="23"/>
      <c r="G645" s="3" t="str">
        <f t="shared" si="19"/>
        <v/>
      </c>
      <c r="H645" s="14"/>
    </row>
    <row r="646" spans="1:8" x14ac:dyDescent="0.2">
      <c r="A646" t="s">
        <v>4</v>
      </c>
      <c r="B646" t="s">
        <v>16</v>
      </c>
      <c r="C646" s="14">
        <v>2006</v>
      </c>
      <c r="D646" t="str">
        <f t="shared" si="18"/>
        <v>yes</v>
      </c>
      <c r="E646">
        <f>COUNTIF($B$8:$B$1006,"Thailand")</f>
        <v>13</v>
      </c>
      <c r="F646" s="23"/>
      <c r="G646" s="3" t="str">
        <f t="shared" si="19"/>
        <v/>
      </c>
      <c r="H646" s="14"/>
    </row>
    <row r="647" spans="1:8" x14ac:dyDescent="0.2">
      <c r="A647" t="s">
        <v>4</v>
      </c>
      <c r="B647" t="s">
        <v>18</v>
      </c>
      <c r="C647" s="14">
        <v>2006</v>
      </c>
      <c r="D647" t="str">
        <f t="shared" si="18"/>
        <v>yes</v>
      </c>
      <c r="E647">
        <f>COUNTIF($B$8:$B$1006,"Vietnam")</f>
        <v>6</v>
      </c>
      <c r="F647" s="23"/>
      <c r="G647" s="3" t="str">
        <f t="shared" si="19"/>
        <v/>
      </c>
      <c r="H647" s="14"/>
    </row>
    <row r="648" spans="1:8" x14ac:dyDescent="0.2">
      <c r="A648" t="s">
        <v>19</v>
      </c>
      <c r="B648" t="s">
        <v>21</v>
      </c>
      <c r="C648" s="14">
        <v>2006</v>
      </c>
      <c r="D648" t="str">
        <f t="shared" ref="D648:D711" si="20">IF(F648="LSMS","no","yes")</f>
        <v>yes</v>
      </c>
      <c r="E648">
        <f>COUNTIF($B$8:$B$1006,"Armenia")</f>
        <v>10</v>
      </c>
      <c r="F648" s="23"/>
      <c r="G648" s="3" t="str">
        <f t="shared" ref="G648:G711" si="21">IF(H648="","",1)</f>
        <v/>
      </c>
      <c r="H648" s="14"/>
    </row>
    <row r="649" spans="1:8" x14ac:dyDescent="0.2">
      <c r="A649" t="s">
        <v>19</v>
      </c>
      <c r="B649" t="s">
        <v>23</v>
      </c>
      <c r="C649" s="14">
        <v>2006</v>
      </c>
      <c r="D649" t="str">
        <f t="shared" si="20"/>
        <v>yes</v>
      </c>
      <c r="E649">
        <f>COUNTIF($B$8:$B$1006,"Belarus")</f>
        <v>12</v>
      </c>
      <c r="F649" s="23"/>
      <c r="G649" s="3" t="str">
        <f t="shared" si="21"/>
        <v/>
      </c>
      <c r="H649" s="14"/>
    </row>
    <row r="650" spans="1:8" x14ac:dyDescent="0.2">
      <c r="A650" t="s">
        <v>19</v>
      </c>
      <c r="B650" t="s">
        <v>29</v>
      </c>
      <c r="C650" s="14">
        <v>2006</v>
      </c>
      <c r="D650" t="str">
        <f t="shared" si="20"/>
        <v>yes</v>
      </c>
      <c r="E650">
        <f>COUNTIF($B$8:$B$1006,"Georgia")</f>
        <v>12</v>
      </c>
      <c r="F650" s="23"/>
      <c r="G650" s="3" t="str">
        <f t="shared" si="21"/>
        <v/>
      </c>
      <c r="H650" s="14"/>
    </row>
    <row r="651" spans="1:8" x14ac:dyDescent="0.2">
      <c r="A651" t="s">
        <v>19</v>
      </c>
      <c r="B651" t="s">
        <v>31</v>
      </c>
      <c r="C651" s="14">
        <v>2006</v>
      </c>
      <c r="D651" t="str">
        <f t="shared" si="20"/>
        <v>yes</v>
      </c>
      <c r="E651">
        <f>COUNTIF($B$8:$B$1006,"Kazakhstan")</f>
        <v>11</v>
      </c>
      <c r="F651" s="23"/>
      <c r="G651" s="3" t="str">
        <f t="shared" si="21"/>
        <v/>
      </c>
      <c r="H651" s="14"/>
    </row>
    <row r="652" spans="1:8" x14ac:dyDescent="0.2">
      <c r="A652" t="s">
        <v>19</v>
      </c>
      <c r="B652" t="s">
        <v>32</v>
      </c>
      <c r="C652" s="14">
        <v>2006</v>
      </c>
      <c r="D652" t="str">
        <f t="shared" si="20"/>
        <v>yes</v>
      </c>
      <c r="E652">
        <f>COUNTIF($B$8:$B$1006,"Kyrgyz Republic")</f>
        <v>10</v>
      </c>
      <c r="F652" s="23"/>
      <c r="G652" s="3" t="str">
        <f t="shared" si="21"/>
        <v/>
      </c>
      <c r="H652" s="14"/>
    </row>
    <row r="653" spans="1:8" x14ac:dyDescent="0.2">
      <c r="A653" t="s">
        <v>19</v>
      </c>
      <c r="B653" t="s">
        <v>35</v>
      </c>
      <c r="C653" s="14">
        <v>2006</v>
      </c>
      <c r="D653" t="str">
        <f t="shared" si="20"/>
        <v>yes</v>
      </c>
      <c r="E653">
        <f>COUNTIF($B$8:$B$1006,"Macedonia")</f>
        <v>9</v>
      </c>
      <c r="F653" s="23"/>
      <c r="G653" s="3" t="str">
        <f t="shared" si="21"/>
        <v/>
      </c>
      <c r="H653" s="14"/>
    </row>
    <row r="654" spans="1:8" x14ac:dyDescent="0.2">
      <c r="A654" t="s">
        <v>19</v>
      </c>
      <c r="B654" t="s">
        <v>36</v>
      </c>
      <c r="C654" s="14">
        <v>2006</v>
      </c>
      <c r="D654" t="str">
        <f t="shared" si="20"/>
        <v>yes</v>
      </c>
      <c r="E654">
        <f>COUNTIF($B$8:$B$1006,"Moldova")</f>
        <v>15</v>
      </c>
      <c r="F654" s="23"/>
      <c r="G654" s="3" t="str">
        <f t="shared" si="21"/>
        <v/>
      </c>
      <c r="H654" s="14"/>
    </row>
    <row r="655" spans="1:8" x14ac:dyDescent="0.2">
      <c r="A655" t="s">
        <v>19</v>
      </c>
      <c r="B655" t="s">
        <v>37</v>
      </c>
      <c r="C655" s="14">
        <v>2006</v>
      </c>
      <c r="D655" t="str">
        <f t="shared" si="20"/>
        <v>yes</v>
      </c>
      <c r="E655">
        <f>COUNTIF($B$8:$B$1006,"Montenegro")</f>
        <v>4</v>
      </c>
      <c r="F655" s="23"/>
      <c r="G655" s="3" t="str">
        <f t="shared" si="21"/>
        <v/>
      </c>
      <c r="H655" s="14"/>
    </row>
    <row r="656" spans="1:8" x14ac:dyDescent="0.2">
      <c r="A656" t="s">
        <v>19</v>
      </c>
      <c r="B656" t="s">
        <v>38</v>
      </c>
      <c r="C656" s="14">
        <v>2006</v>
      </c>
      <c r="D656" t="str">
        <f t="shared" si="20"/>
        <v>yes</v>
      </c>
      <c r="E656">
        <f>COUNTIF($B$8:$B$1006,"Poland")</f>
        <v>17</v>
      </c>
      <c r="F656" s="23"/>
      <c r="G656" s="3" t="str">
        <f t="shared" si="21"/>
        <v/>
      </c>
      <c r="H656" s="14"/>
    </row>
    <row r="657" spans="1:8" x14ac:dyDescent="0.2">
      <c r="A657" t="s">
        <v>19</v>
      </c>
      <c r="B657" t="s">
        <v>39</v>
      </c>
      <c r="C657" s="14">
        <v>2006</v>
      </c>
      <c r="D657" t="str">
        <f t="shared" si="20"/>
        <v>yes</v>
      </c>
      <c r="E657">
        <f>COUNTIF($B$8:$B$1006,"Romania")</f>
        <v>14</v>
      </c>
      <c r="F657" s="23"/>
      <c r="G657" s="3" t="str">
        <f t="shared" si="21"/>
        <v/>
      </c>
      <c r="H657" s="14"/>
    </row>
    <row r="658" spans="1:8" x14ac:dyDescent="0.2">
      <c r="A658" t="s">
        <v>19</v>
      </c>
      <c r="B658" t="s">
        <v>40</v>
      </c>
      <c r="C658" s="14">
        <v>2006</v>
      </c>
      <c r="D658" t="str">
        <f t="shared" si="20"/>
        <v>yes</v>
      </c>
      <c r="E658">
        <f>COUNTIF($B$8:$B$1006,"Russian Federation")</f>
        <v>13</v>
      </c>
      <c r="F658" s="23"/>
      <c r="G658" s="3" t="str">
        <f t="shared" si="21"/>
        <v/>
      </c>
      <c r="H658" s="14"/>
    </row>
    <row r="659" spans="1:8" x14ac:dyDescent="0.2">
      <c r="A659" t="s">
        <v>19</v>
      </c>
      <c r="B659" t="s">
        <v>41</v>
      </c>
      <c r="C659" s="14">
        <v>2006</v>
      </c>
      <c r="D659" t="str">
        <f t="shared" si="20"/>
        <v>yes</v>
      </c>
      <c r="E659">
        <f>COUNTIF($B$8:$B$1006,"Serbia")</f>
        <v>8</v>
      </c>
      <c r="F659" s="23"/>
      <c r="G659" s="3" t="str">
        <f t="shared" si="21"/>
        <v/>
      </c>
      <c r="H659" s="14"/>
    </row>
    <row r="660" spans="1:8" x14ac:dyDescent="0.2">
      <c r="A660" t="s">
        <v>19</v>
      </c>
      <c r="B660" t="s">
        <v>42</v>
      </c>
      <c r="C660" s="14">
        <v>2006</v>
      </c>
      <c r="D660" t="str">
        <f t="shared" si="20"/>
        <v>yes</v>
      </c>
      <c r="E660">
        <f>COUNTIF($B$8:$B$1006,"Slovak Republic")</f>
        <v>9</v>
      </c>
      <c r="F660" s="23"/>
      <c r="G660" s="3" t="str">
        <f t="shared" si="21"/>
        <v/>
      </c>
      <c r="H660" s="14"/>
    </row>
    <row r="661" spans="1:8" x14ac:dyDescent="0.2">
      <c r="A661" t="s">
        <v>19</v>
      </c>
      <c r="B661" t="s">
        <v>45</v>
      </c>
      <c r="C661" s="14">
        <v>2006</v>
      </c>
      <c r="D661" t="str">
        <f t="shared" si="20"/>
        <v>yes</v>
      </c>
      <c r="E661">
        <f>COUNTIF($B$8:$B$1006,"Turkey")</f>
        <v>9</v>
      </c>
      <c r="F661" s="23"/>
      <c r="G661" s="3" t="str">
        <f t="shared" si="21"/>
        <v/>
      </c>
      <c r="H661" s="14"/>
    </row>
    <row r="662" spans="1:8" x14ac:dyDescent="0.2">
      <c r="A662" t="s">
        <v>19</v>
      </c>
      <c r="B662" t="s">
        <v>47</v>
      </c>
      <c r="C662" s="14">
        <v>2006</v>
      </c>
      <c r="D662" t="str">
        <f t="shared" si="20"/>
        <v>yes</v>
      </c>
      <c r="E662">
        <f>COUNTIF($B$8:$B$1006,"Ukraine")</f>
        <v>13</v>
      </c>
      <c r="F662" s="23"/>
      <c r="G662" s="3" t="str">
        <f t="shared" si="21"/>
        <v/>
      </c>
      <c r="H662" s="14"/>
    </row>
    <row r="663" spans="1:8" x14ac:dyDescent="0.2">
      <c r="A663" t="s">
        <v>49</v>
      </c>
      <c r="B663" t="s">
        <v>48</v>
      </c>
      <c r="C663" s="14">
        <v>2006</v>
      </c>
      <c r="D663" t="str">
        <f t="shared" si="20"/>
        <v>yes</v>
      </c>
      <c r="E663">
        <f>COUNTIF($B$8:$B$1006,"Argentina")</f>
        <v>22</v>
      </c>
      <c r="F663" s="23"/>
      <c r="G663" s="3" t="str">
        <f t="shared" si="21"/>
        <v/>
      </c>
      <c r="H663" s="14"/>
    </row>
    <row r="664" spans="1:8" x14ac:dyDescent="0.2">
      <c r="A664" t="s">
        <v>49</v>
      </c>
      <c r="B664" t="s">
        <v>51</v>
      </c>
      <c r="C664" s="14">
        <v>2006</v>
      </c>
      <c r="D664" t="str">
        <f t="shared" si="20"/>
        <v>yes</v>
      </c>
      <c r="E664">
        <f>COUNTIF($B$8:$B$1006,"Bolivia")</f>
        <v>11</v>
      </c>
      <c r="F664" s="23"/>
      <c r="G664" s="3" t="str">
        <f t="shared" si="21"/>
        <v/>
      </c>
      <c r="H664" s="14"/>
    </row>
    <row r="665" spans="1:8" x14ac:dyDescent="0.2">
      <c r="A665" t="s">
        <v>49</v>
      </c>
      <c r="B665" t="s">
        <v>52</v>
      </c>
      <c r="C665" s="14">
        <v>2006</v>
      </c>
      <c r="D665" t="str">
        <f t="shared" si="20"/>
        <v>yes</v>
      </c>
      <c r="E665">
        <f>COUNTIF($B$8:$B$1006,"Brazil")</f>
        <v>26</v>
      </c>
      <c r="F665" s="23"/>
      <c r="G665" s="3" t="str">
        <f t="shared" si="21"/>
        <v/>
      </c>
      <c r="H665" s="14"/>
    </row>
    <row r="666" spans="1:8" x14ac:dyDescent="0.2">
      <c r="A666" t="s">
        <v>49</v>
      </c>
      <c r="B666" t="s">
        <v>53</v>
      </c>
      <c r="C666" s="14">
        <v>2006</v>
      </c>
      <c r="D666" t="str">
        <f t="shared" si="20"/>
        <v>yes</v>
      </c>
      <c r="E666">
        <f>COUNTIF($B$8:$B$1006,"Chile")</f>
        <v>10</v>
      </c>
      <c r="F666" s="23"/>
      <c r="G666" s="3" t="str">
        <f t="shared" si="21"/>
        <v/>
      </c>
      <c r="H666" s="14"/>
    </row>
    <row r="667" spans="1:8" x14ac:dyDescent="0.2">
      <c r="A667" t="s">
        <v>49</v>
      </c>
      <c r="B667" t="s">
        <v>54</v>
      </c>
      <c r="C667" s="14">
        <v>2006</v>
      </c>
      <c r="D667" t="str">
        <f t="shared" si="20"/>
        <v>yes</v>
      </c>
      <c r="E667">
        <f>COUNTIF($B$8:$B$1006,"Colombia")</f>
        <v>18</v>
      </c>
      <c r="F667" s="23"/>
      <c r="G667" s="3" t="str">
        <f t="shared" si="21"/>
        <v/>
      </c>
      <c r="H667" s="14"/>
    </row>
    <row r="668" spans="1:8" x14ac:dyDescent="0.2">
      <c r="A668" t="s">
        <v>49</v>
      </c>
      <c r="B668" t="s">
        <v>55</v>
      </c>
      <c r="C668" s="14">
        <v>2006</v>
      </c>
      <c r="D668" t="str">
        <f t="shared" si="20"/>
        <v>yes</v>
      </c>
      <c r="E668">
        <f>COUNTIF($B$8:$B$1006,"Costa Rica")</f>
        <v>23</v>
      </c>
      <c r="F668" s="23"/>
      <c r="G668" s="3" t="str">
        <f t="shared" si="21"/>
        <v/>
      </c>
      <c r="H668" s="14"/>
    </row>
    <row r="669" spans="1:8" x14ac:dyDescent="0.2">
      <c r="A669" t="s">
        <v>49</v>
      </c>
      <c r="B669" t="s">
        <v>56</v>
      </c>
      <c r="C669" s="14">
        <v>2006</v>
      </c>
      <c r="D669" t="str">
        <f t="shared" si="20"/>
        <v>yes</v>
      </c>
      <c r="E669">
        <f>COUNTIF($B$8:$B$1006,"Dominican Republic")</f>
        <v>16</v>
      </c>
      <c r="F669" s="23"/>
      <c r="G669" s="3" t="str">
        <f t="shared" si="21"/>
        <v/>
      </c>
      <c r="H669" s="14"/>
    </row>
    <row r="670" spans="1:8" x14ac:dyDescent="0.2">
      <c r="A670" t="s">
        <v>49</v>
      </c>
      <c r="B670" t="s">
        <v>57</v>
      </c>
      <c r="C670" s="14">
        <v>2006</v>
      </c>
      <c r="D670" t="str">
        <f t="shared" si="20"/>
        <v>yes</v>
      </c>
      <c r="E670">
        <f>COUNTIF($B$8:$B$1006,"Ecuador")</f>
        <v>13</v>
      </c>
      <c r="F670" s="23"/>
      <c r="G670" s="3" t="str">
        <f t="shared" si="21"/>
        <v/>
      </c>
      <c r="H670" s="14"/>
    </row>
    <row r="671" spans="1:8" x14ac:dyDescent="0.2">
      <c r="A671" t="s">
        <v>49</v>
      </c>
      <c r="B671" t="s">
        <v>58</v>
      </c>
      <c r="C671" s="14">
        <v>2006</v>
      </c>
      <c r="D671" t="str">
        <f t="shared" si="20"/>
        <v>yes</v>
      </c>
      <c r="E671">
        <f>COUNTIF($B$8:$B$1006,"El Salvador")</f>
        <v>15</v>
      </c>
      <c r="F671" s="23"/>
      <c r="G671" s="3" t="str">
        <f t="shared" si="21"/>
        <v/>
      </c>
      <c r="H671" s="14"/>
    </row>
    <row r="672" spans="1:8" x14ac:dyDescent="0.2">
      <c r="A672" t="s">
        <v>49</v>
      </c>
      <c r="B672" t="s">
        <v>59</v>
      </c>
      <c r="C672" s="14">
        <v>2006</v>
      </c>
      <c r="D672" t="str">
        <f t="shared" si="20"/>
        <v>yes</v>
      </c>
      <c r="E672">
        <f>COUNTIF($B$8:$B$1006,"Guatemala")</f>
        <v>8</v>
      </c>
      <c r="F672" s="23"/>
      <c r="G672" s="3" t="str">
        <f t="shared" si="21"/>
        <v/>
      </c>
      <c r="H672" s="14"/>
    </row>
    <row r="673" spans="1:8" x14ac:dyDescent="0.2">
      <c r="A673" t="s">
        <v>49</v>
      </c>
      <c r="B673" t="s">
        <v>62</v>
      </c>
      <c r="C673" s="14">
        <v>2006</v>
      </c>
      <c r="D673" t="str">
        <f t="shared" si="20"/>
        <v>yes</v>
      </c>
      <c r="E673">
        <f>COUNTIF($B$8:$B$1006,"Honduras")</f>
        <v>21</v>
      </c>
      <c r="F673" s="23"/>
      <c r="G673" s="3" t="str">
        <f t="shared" si="21"/>
        <v/>
      </c>
      <c r="H673" s="14"/>
    </row>
    <row r="674" spans="1:8" x14ac:dyDescent="0.2">
      <c r="A674" t="s">
        <v>49</v>
      </c>
      <c r="B674" t="s">
        <v>64</v>
      </c>
      <c r="C674" s="14">
        <v>2006</v>
      </c>
      <c r="D674" t="str">
        <f t="shared" si="20"/>
        <v>yes</v>
      </c>
      <c r="E674">
        <f>COUNTIF($B$8:$B$1006,"Mexico")</f>
        <v>13</v>
      </c>
      <c r="F674" s="23"/>
      <c r="G674" s="3" t="str">
        <f t="shared" si="21"/>
        <v/>
      </c>
      <c r="H674" s="14"/>
    </row>
    <row r="675" spans="1:8" x14ac:dyDescent="0.2">
      <c r="A675" t="s">
        <v>49</v>
      </c>
      <c r="B675" t="s">
        <v>66</v>
      </c>
      <c r="C675" s="14">
        <v>2006</v>
      </c>
      <c r="D675" t="str">
        <f t="shared" si="20"/>
        <v>yes</v>
      </c>
      <c r="E675">
        <f>COUNTIF($B$8:$B$1006,"Panama")</f>
        <v>13</v>
      </c>
      <c r="F675" s="23"/>
      <c r="G675" s="3" t="str">
        <f t="shared" si="21"/>
        <v/>
      </c>
      <c r="H675" s="14"/>
    </row>
    <row r="676" spans="1:8" x14ac:dyDescent="0.2">
      <c r="A676" t="s">
        <v>49</v>
      </c>
      <c r="B676" t="s">
        <v>67</v>
      </c>
      <c r="C676" s="14">
        <v>2006</v>
      </c>
      <c r="D676" t="str">
        <f t="shared" si="20"/>
        <v>yes</v>
      </c>
      <c r="E676">
        <f>COUNTIF($B$8:$B$1006,"Paraguay")</f>
        <v>14</v>
      </c>
      <c r="F676" s="23"/>
      <c r="G676" s="3" t="str">
        <f t="shared" si="21"/>
        <v/>
      </c>
      <c r="H676" s="14"/>
    </row>
    <row r="677" spans="1:8" x14ac:dyDescent="0.2">
      <c r="A677" t="s">
        <v>49</v>
      </c>
      <c r="B677" t="s">
        <v>68</v>
      </c>
      <c r="C677" s="14">
        <v>2006</v>
      </c>
      <c r="D677" t="str">
        <f t="shared" si="20"/>
        <v>yes</v>
      </c>
      <c r="E677">
        <f>COUNTIF($B$8:$B$1006,"Peru")</f>
        <v>16</v>
      </c>
      <c r="F677" s="23"/>
      <c r="G677" s="3" t="str">
        <f t="shared" si="21"/>
        <v/>
      </c>
      <c r="H677" s="14"/>
    </row>
    <row r="678" spans="1:8" x14ac:dyDescent="0.2">
      <c r="A678" t="s">
        <v>49</v>
      </c>
      <c r="B678" t="s">
        <v>72</v>
      </c>
      <c r="C678" s="14">
        <v>2006</v>
      </c>
      <c r="D678" t="str">
        <f t="shared" si="20"/>
        <v>yes</v>
      </c>
      <c r="E678">
        <f>COUNTIF($B$8:$B$1006,"Uruguay")</f>
        <v>18</v>
      </c>
      <c r="F678" s="23"/>
      <c r="G678" s="3" t="str">
        <f t="shared" si="21"/>
        <v/>
      </c>
      <c r="H678" s="14"/>
    </row>
    <row r="679" spans="1:8" x14ac:dyDescent="0.2">
      <c r="A679" t="s">
        <v>49</v>
      </c>
      <c r="B679" t="s">
        <v>73</v>
      </c>
      <c r="C679" s="14">
        <v>2006</v>
      </c>
      <c r="D679" t="str">
        <f t="shared" si="20"/>
        <v>yes</v>
      </c>
      <c r="E679">
        <f>COUNTIF($B$8:$B$1006,"Venezuela")</f>
        <v>13</v>
      </c>
      <c r="F679" s="23"/>
      <c r="G679" s="3" t="str">
        <f t="shared" si="21"/>
        <v/>
      </c>
      <c r="H679" s="14"/>
    </row>
    <row r="680" spans="1:8" x14ac:dyDescent="0.2">
      <c r="A680" t="s">
        <v>74</v>
      </c>
      <c r="B680" t="s">
        <v>79</v>
      </c>
      <c r="C680" s="14">
        <v>2006</v>
      </c>
      <c r="D680" t="str">
        <f t="shared" si="20"/>
        <v>yes</v>
      </c>
      <c r="E680">
        <f>COUNTIF($B$8:$B$1006,"Iraq")</f>
        <v>1</v>
      </c>
      <c r="F680" s="23"/>
      <c r="G680" s="3">
        <f t="shared" si="21"/>
        <v>1</v>
      </c>
      <c r="H680" s="14" t="s">
        <v>79</v>
      </c>
    </row>
    <row r="681" spans="1:8" x14ac:dyDescent="0.2">
      <c r="A681" t="s">
        <v>74</v>
      </c>
      <c r="B681" t="s">
        <v>80</v>
      </c>
      <c r="C681" s="14">
        <v>2006</v>
      </c>
      <c r="D681" t="str">
        <f t="shared" si="20"/>
        <v>yes</v>
      </c>
      <c r="E681">
        <f>COUNTIF($B$8:$B$1006,"Jordan")</f>
        <v>7</v>
      </c>
      <c r="F681" s="23"/>
      <c r="G681" s="3" t="str">
        <f t="shared" si="21"/>
        <v/>
      </c>
      <c r="H681" s="14"/>
    </row>
    <row r="682" spans="1:8" x14ac:dyDescent="0.2">
      <c r="A682" t="s">
        <v>87</v>
      </c>
      <c r="B682" t="s">
        <v>92</v>
      </c>
      <c r="C682" s="14">
        <v>2006</v>
      </c>
      <c r="D682" t="str">
        <f t="shared" si="20"/>
        <v>yes</v>
      </c>
      <c r="E682">
        <f>COUNTIF($B$8:$B$1006,"Pakistan")</f>
        <v>8</v>
      </c>
      <c r="F682" s="23"/>
      <c r="G682" s="3" t="str">
        <f t="shared" si="21"/>
        <v/>
      </c>
      <c r="H682" s="14"/>
    </row>
    <row r="683" spans="1:8" x14ac:dyDescent="0.2">
      <c r="A683" t="s">
        <v>95</v>
      </c>
      <c r="B683" t="s">
        <v>99</v>
      </c>
      <c r="C683" s="14">
        <v>2006</v>
      </c>
      <c r="D683" t="str">
        <f t="shared" si="20"/>
        <v>yes</v>
      </c>
      <c r="E683">
        <f>COUNTIF($B$8:$B$1006,"Burundi")</f>
        <v>3</v>
      </c>
      <c r="F683" s="23"/>
      <c r="G683" s="3" t="str">
        <f t="shared" si="21"/>
        <v/>
      </c>
      <c r="H683" s="14"/>
    </row>
    <row r="684" spans="1:8" x14ac:dyDescent="0.2">
      <c r="A684" t="s">
        <v>95</v>
      </c>
      <c r="B684" t="s">
        <v>111</v>
      </c>
      <c r="C684" s="14">
        <v>2006</v>
      </c>
      <c r="D684" t="str">
        <f t="shared" si="20"/>
        <v>yes</v>
      </c>
      <c r="E684">
        <f>COUNTIF($B$8:$B$1006,"Ghana")</f>
        <v>5</v>
      </c>
      <c r="F684" s="23"/>
      <c r="G684" s="3" t="str">
        <f t="shared" si="21"/>
        <v/>
      </c>
      <c r="H684" s="14"/>
    </row>
    <row r="685" spans="1:8" x14ac:dyDescent="0.2">
      <c r="A685" t="s">
        <v>95</v>
      </c>
      <c r="B685" t="s">
        <v>119</v>
      </c>
      <c r="C685" s="14">
        <v>2006</v>
      </c>
      <c r="D685" t="str">
        <f t="shared" si="20"/>
        <v>yes</v>
      </c>
      <c r="E685">
        <f>COUNTIF($B$8:$B$1006,"Mali")</f>
        <v>4</v>
      </c>
      <c r="F685" s="23"/>
      <c r="G685" s="3" t="str">
        <f t="shared" si="21"/>
        <v/>
      </c>
      <c r="H685" s="14"/>
    </row>
    <row r="686" spans="1:8" x14ac:dyDescent="0.2">
      <c r="A686" t="s">
        <v>95</v>
      </c>
      <c r="B686" t="s">
        <v>125</v>
      </c>
      <c r="C686" s="14">
        <v>2006</v>
      </c>
      <c r="D686" t="str">
        <f t="shared" si="20"/>
        <v>yes</v>
      </c>
      <c r="E686">
        <f>COUNTIF($B$8:$B$1006,"Rwanda")</f>
        <v>3</v>
      </c>
      <c r="F686" s="23"/>
      <c r="G686" s="3" t="str">
        <f t="shared" si="21"/>
        <v/>
      </c>
      <c r="H686" s="14"/>
    </row>
    <row r="687" spans="1:8" x14ac:dyDescent="0.2">
      <c r="A687" t="s">
        <v>95</v>
      </c>
      <c r="B687" t="s">
        <v>130</v>
      </c>
      <c r="C687" s="14">
        <v>2006</v>
      </c>
      <c r="D687" t="str">
        <f t="shared" si="20"/>
        <v>yes</v>
      </c>
      <c r="E687">
        <f>COUNTIF($B$8:$B$1006,"South Africa")</f>
        <v>5</v>
      </c>
      <c r="F687" s="23"/>
      <c r="G687" s="3" t="str">
        <f t="shared" si="21"/>
        <v/>
      </c>
      <c r="H687" s="14"/>
    </row>
    <row r="688" spans="1:8" x14ac:dyDescent="0.2">
      <c r="A688" t="s">
        <v>95</v>
      </c>
      <c r="B688" t="s">
        <v>134</v>
      </c>
      <c r="C688" s="14">
        <v>2006</v>
      </c>
      <c r="D688" t="str">
        <f t="shared" si="20"/>
        <v>yes</v>
      </c>
      <c r="E688">
        <f>COUNTIF($B$8:$B$1006,"Togo")</f>
        <v>1</v>
      </c>
      <c r="F688" s="23"/>
      <c r="G688" s="3">
        <f t="shared" si="21"/>
        <v>1</v>
      </c>
      <c r="H688" s="14" t="s">
        <v>134</v>
      </c>
    </row>
    <row r="689" spans="1:8" x14ac:dyDescent="0.2">
      <c r="A689" t="s">
        <v>95</v>
      </c>
      <c r="B689" t="s">
        <v>135</v>
      </c>
      <c r="C689" s="14">
        <v>2006</v>
      </c>
      <c r="D689" t="str">
        <f t="shared" si="20"/>
        <v>yes</v>
      </c>
      <c r="E689">
        <f>COUNTIF($B$8:$B$1006,"Uganda")</f>
        <v>7</v>
      </c>
      <c r="F689" s="23"/>
      <c r="G689" s="3" t="str">
        <f t="shared" si="21"/>
        <v/>
      </c>
      <c r="H689" s="14"/>
    </row>
    <row r="690" spans="1:8" x14ac:dyDescent="0.2">
      <c r="A690" t="s">
        <v>95</v>
      </c>
      <c r="B690" t="s">
        <v>136</v>
      </c>
      <c r="C690" s="14">
        <v>2006</v>
      </c>
      <c r="D690" t="str">
        <f t="shared" si="20"/>
        <v>yes</v>
      </c>
      <c r="E690">
        <f>COUNTIF($B$8:$B$1006,"Zambia")</f>
        <v>7</v>
      </c>
      <c r="F690" s="23"/>
      <c r="G690" s="3" t="str">
        <f t="shared" si="21"/>
        <v/>
      </c>
      <c r="H690" s="14"/>
    </row>
    <row r="691" spans="1:8" x14ac:dyDescent="0.2">
      <c r="A691" t="s">
        <v>4</v>
      </c>
      <c r="B691" t="s">
        <v>5</v>
      </c>
      <c r="C691" s="14">
        <v>2007</v>
      </c>
      <c r="D691" t="str">
        <f t="shared" si="20"/>
        <v>yes</v>
      </c>
      <c r="E691">
        <f>COUNTIF($B$8:$B$1006,"Cambodia")</f>
        <v>4</v>
      </c>
      <c r="F691" s="23"/>
      <c r="G691" s="3" t="str">
        <f t="shared" si="21"/>
        <v/>
      </c>
      <c r="H691" s="14"/>
    </row>
    <row r="692" spans="1:8" x14ac:dyDescent="0.2">
      <c r="A692" t="s">
        <v>4</v>
      </c>
      <c r="B692" t="s">
        <v>10</v>
      </c>
      <c r="C692" s="14">
        <v>2007</v>
      </c>
      <c r="D692" t="str">
        <f t="shared" si="20"/>
        <v>yes</v>
      </c>
      <c r="E692">
        <f>COUNTIF($B$8:$B$1006,"Indonesia")</f>
        <v>14</v>
      </c>
      <c r="F692" s="23"/>
      <c r="G692" s="3" t="str">
        <f t="shared" si="21"/>
        <v/>
      </c>
      <c r="H692" s="14"/>
    </row>
    <row r="693" spans="1:8" x14ac:dyDescent="0.2">
      <c r="A693" t="s">
        <v>4</v>
      </c>
      <c r="B693" t="s">
        <v>12</v>
      </c>
      <c r="C693" s="14">
        <v>2007</v>
      </c>
      <c r="D693" t="str">
        <f t="shared" si="20"/>
        <v>yes</v>
      </c>
      <c r="E693">
        <f>COUNTIF($B$8:$B$1006,"Malaysia")</f>
        <v>9</v>
      </c>
      <c r="F693" s="23"/>
      <c r="G693" s="3" t="str">
        <f t="shared" si="21"/>
        <v/>
      </c>
      <c r="H693" s="14"/>
    </row>
    <row r="694" spans="1:8" x14ac:dyDescent="0.2">
      <c r="A694" t="s">
        <v>4</v>
      </c>
      <c r="B694" t="s">
        <v>17</v>
      </c>
      <c r="C694" s="14">
        <v>2007</v>
      </c>
      <c r="D694" t="str">
        <f t="shared" si="20"/>
        <v>yes</v>
      </c>
      <c r="E694">
        <f>COUNTIF($B$8:$B$1006,"Timor-Leste")</f>
        <v>2</v>
      </c>
      <c r="F694" s="23"/>
      <c r="G694" s="3" t="str">
        <f t="shared" si="21"/>
        <v/>
      </c>
      <c r="H694" s="14"/>
    </row>
    <row r="695" spans="1:8" x14ac:dyDescent="0.2">
      <c r="A695" t="s">
        <v>19</v>
      </c>
      <c r="B695" t="s">
        <v>21</v>
      </c>
      <c r="C695" s="14">
        <v>2007</v>
      </c>
      <c r="D695" t="str">
        <f t="shared" si="20"/>
        <v>yes</v>
      </c>
      <c r="E695">
        <f>COUNTIF($B$8:$B$1006,"Armenia")</f>
        <v>10</v>
      </c>
      <c r="F695" s="23"/>
      <c r="G695" s="3" t="str">
        <f t="shared" si="21"/>
        <v/>
      </c>
      <c r="H695" s="14"/>
    </row>
    <row r="696" spans="1:8" x14ac:dyDescent="0.2">
      <c r="A696" t="s">
        <v>19</v>
      </c>
      <c r="B696" t="s">
        <v>23</v>
      </c>
      <c r="C696" s="14">
        <v>2007</v>
      </c>
      <c r="D696" t="str">
        <f t="shared" si="20"/>
        <v>yes</v>
      </c>
      <c r="E696">
        <f>COUNTIF($B$8:$B$1006,"Belarus")</f>
        <v>12</v>
      </c>
      <c r="F696" s="23"/>
      <c r="G696" s="3" t="str">
        <f t="shared" si="21"/>
        <v/>
      </c>
      <c r="H696" s="14"/>
    </row>
    <row r="697" spans="1:8" x14ac:dyDescent="0.2">
      <c r="A697" t="s">
        <v>19</v>
      </c>
      <c r="B697" t="s">
        <v>24</v>
      </c>
      <c r="C697" s="14">
        <v>2007</v>
      </c>
      <c r="D697" t="str">
        <f t="shared" si="20"/>
        <v>yes</v>
      </c>
      <c r="E697">
        <f>COUNTIF($B$8:$B$1006,"Bosnia and Herzegovina")</f>
        <v>3</v>
      </c>
      <c r="F697" s="23"/>
      <c r="G697" s="3" t="str">
        <f t="shared" si="21"/>
        <v/>
      </c>
      <c r="H697" s="14"/>
    </row>
    <row r="698" spans="1:8" x14ac:dyDescent="0.2">
      <c r="A698" t="s">
        <v>19</v>
      </c>
      <c r="B698" t="s">
        <v>25</v>
      </c>
      <c r="C698" s="14">
        <v>2007</v>
      </c>
      <c r="D698" t="str">
        <f t="shared" si="20"/>
        <v>yes</v>
      </c>
      <c r="E698">
        <f>COUNTIF($B$8:$B$1006,"Bulgaria")</f>
        <v>8</v>
      </c>
      <c r="F698" s="23"/>
      <c r="G698" s="3" t="str">
        <f t="shared" si="21"/>
        <v/>
      </c>
      <c r="H698" s="14"/>
    </row>
    <row r="699" spans="1:8" x14ac:dyDescent="0.2">
      <c r="A699" t="s">
        <v>19</v>
      </c>
      <c r="B699" t="s">
        <v>29</v>
      </c>
      <c r="C699" s="14">
        <v>2007</v>
      </c>
      <c r="D699" t="str">
        <f t="shared" si="20"/>
        <v>yes</v>
      </c>
      <c r="E699">
        <f>COUNTIF($B$8:$B$1006,"Georgia")</f>
        <v>12</v>
      </c>
      <c r="F699" s="23"/>
      <c r="G699" s="3" t="str">
        <f t="shared" si="21"/>
        <v/>
      </c>
      <c r="H699" s="14"/>
    </row>
    <row r="700" spans="1:8" x14ac:dyDescent="0.2">
      <c r="A700" t="s">
        <v>19</v>
      </c>
      <c r="B700" t="s">
        <v>30</v>
      </c>
      <c r="C700" s="14">
        <v>2007</v>
      </c>
      <c r="D700" t="str">
        <f t="shared" si="20"/>
        <v>yes</v>
      </c>
      <c r="E700">
        <f>COUNTIF($B$8:$B$1006,"Hungary")</f>
        <v>10</v>
      </c>
      <c r="F700" s="23"/>
      <c r="G700" s="3" t="str">
        <f t="shared" si="21"/>
        <v/>
      </c>
      <c r="H700" s="14"/>
    </row>
    <row r="701" spans="1:8" x14ac:dyDescent="0.2">
      <c r="A701" t="s">
        <v>19</v>
      </c>
      <c r="B701" t="s">
        <v>31</v>
      </c>
      <c r="C701" s="14">
        <v>2007</v>
      </c>
      <c r="D701" t="str">
        <f t="shared" si="20"/>
        <v>yes</v>
      </c>
      <c r="E701">
        <f>COUNTIF($B$8:$B$1006,"Kazakhstan")</f>
        <v>11</v>
      </c>
      <c r="F701" s="23"/>
      <c r="G701" s="3" t="str">
        <f t="shared" si="21"/>
        <v/>
      </c>
      <c r="H701" s="14"/>
    </row>
    <row r="702" spans="1:8" x14ac:dyDescent="0.2">
      <c r="A702" t="s">
        <v>19</v>
      </c>
      <c r="B702" t="s">
        <v>32</v>
      </c>
      <c r="C702" s="14">
        <v>2007</v>
      </c>
      <c r="D702" t="str">
        <f t="shared" si="20"/>
        <v>yes</v>
      </c>
      <c r="E702">
        <f>COUNTIF($B$8:$B$1006,"Kyrgyz Republic")</f>
        <v>10</v>
      </c>
      <c r="F702" s="23"/>
      <c r="G702" s="3" t="str">
        <f t="shared" si="21"/>
        <v/>
      </c>
      <c r="H702" s="14"/>
    </row>
    <row r="703" spans="1:8" x14ac:dyDescent="0.2">
      <c r="A703" t="s">
        <v>19</v>
      </c>
      <c r="B703" t="s">
        <v>33</v>
      </c>
      <c r="C703" s="14">
        <v>2007</v>
      </c>
      <c r="D703" t="str">
        <f t="shared" si="20"/>
        <v>yes</v>
      </c>
      <c r="E703">
        <f>COUNTIF($B$8:$B$1006,"Latvia")</f>
        <v>11</v>
      </c>
      <c r="F703" s="23"/>
      <c r="G703" s="3" t="str">
        <f t="shared" si="21"/>
        <v/>
      </c>
      <c r="H703" s="14"/>
    </row>
    <row r="704" spans="1:8" x14ac:dyDescent="0.2">
      <c r="A704" t="s">
        <v>19</v>
      </c>
      <c r="B704" t="s">
        <v>36</v>
      </c>
      <c r="C704" s="14">
        <v>2007</v>
      </c>
      <c r="D704" t="str">
        <f t="shared" si="20"/>
        <v>yes</v>
      </c>
      <c r="E704">
        <f>COUNTIF($B$8:$B$1006,"Moldova")</f>
        <v>15</v>
      </c>
      <c r="F704" s="23"/>
      <c r="G704" s="3" t="str">
        <f t="shared" si="21"/>
        <v/>
      </c>
      <c r="H704" s="14"/>
    </row>
    <row r="705" spans="1:8" x14ac:dyDescent="0.2">
      <c r="A705" t="s">
        <v>19</v>
      </c>
      <c r="B705" t="s">
        <v>37</v>
      </c>
      <c r="C705" s="14">
        <v>2007</v>
      </c>
      <c r="D705" t="str">
        <f t="shared" si="20"/>
        <v>yes</v>
      </c>
      <c r="E705">
        <f>COUNTIF($B$8:$B$1006,"Montenegro")</f>
        <v>4</v>
      </c>
      <c r="F705" s="23"/>
      <c r="G705" s="3" t="str">
        <f t="shared" si="21"/>
        <v/>
      </c>
      <c r="H705" s="14"/>
    </row>
    <row r="706" spans="1:8" x14ac:dyDescent="0.2">
      <c r="A706" t="s">
        <v>19</v>
      </c>
      <c r="B706" t="s">
        <v>38</v>
      </c>
      <c r="C706" s="14">
        <v>2007</v>
      </c>
      <c r="D706" t="str">
        <f t="shared" si="20"/>
        <v>yes</v>
      </c>
      <c r="E706">
        <f>COUNTIF($B$8:$B$1006,"Poland")</f>
        <v>17</v>
      </c>
      <c r="F706" s="23"/>
      <c r="G706" s="3" t="str">
        <f t="shared" si="21"/>
        <v/>
      </c>
      <c r="H706" s="14"/>
    </row>
    <row r="707" spans="1:8" x14ac:dyDescent="0.2">
      <c r="A707" t="s">
        <v>19</v>
      </c>
      <c r="B707" t="s">
        <v>39</v>
      </c>
      <c r="C707" s="14">
        <v>2007</v>
      </c>
      <c r="D707" t="str">
        <f t="shared" si="20"/>
        <v>yes</v>
      </c>
      <c r="E707">
        <f>COUNTIF($B$8:$B$1006,"Romania")</f>
        <v>14</v>
      </c>
      <c r="F707" s="23"/>
      <c r="G707" s="3" t="str">
        <f t="shared" si="21"/>
        <v/>
      </c>
      <c r="H707" s="14"/>
    </row>
    <row r="708" spans="1:8" x14ac:dyDescent="0.2">
      <c r="A708" t="s">
        <v>19</v>
      </c>
      <c r="B708" t="s">
        <v>40</v>
      </c>
      <c r="C708" s="14">
        <v>2007</v>
      </c>
      <c r="D708" t="str">
        <f t="shared" si="20"/>
        <v>yes</v>
      </c>
      <c r="E708">
        <f>COUNTIF($B$8:$B$1006,"Russian Federation")</f>
        <v>13</v>
      </c>
      <c r="F708" s="23"/>
      <c r="G708" s="3" t="str">
        <f t="shared" si="21"/>
        <v/>
      </c>
      <c r="H708" s="14"/>
    </row>
    <row r="709" spans="1:8" x14ac:dyDescent="0.2">
      <c r="A709" t="s">
        <v>19</v>
      </c>
      <c r="B709" t="s">
        <v>41</v>
      </c>
      <c r="C709" s="14">
        <v>2007</v>
      </c>
      <c r="D709" t="str">
        <f t="shared" si="20"/>
        <v>yes</v>
      </c>
      <c r="E709">
        <f>COUNTIF($B$8:$B$1006,"Serbia")</f>
        <v>8</v>
      </c>
      <c r="F709" s="23"/>
      <c r="G709" s="3" t="str">
        <f t="shared" si="21"/>
        <v/>
      </c>
      <c r="H709" s="14"/>
    </row>
    <row r="710" spans="1:8" x14ac:dyDescent="0.2">
      <c r="A710" t="s">
        <v>19</v>
      </c>
      <c r="B710" t="s">
        <v>42</v>
      </c>
      <c r="C710" s="14">
        <v>2007</v>
      </c>
      <c r="D710" t="str">
        <f t="shared" si="20"/>
        <v>yes</v>
      </c>
      <c r="E710">
        <f>COUNTIF($B$8:$B$1006,"Slovak Republic")</f>
        <v>9</v>
      </c>
      <c r="F710" s="23"/>
      <c r="G710" s="3" t="str">
        <f t="shared" si="21"/>
        <v/>
      </c>
      <c r="H710" s="14"/>
    </row>
    <row r="711" spans="1:8" x14ac:dyDescent="0.2">
      <c r="A711" t="s">
        <v>19</v>
      </c>
      <c r="B711" t="s">
        <v>43</v>
      </c>
      <c r="C711" s="14">
        <v>2007</v>
      </c>
      <c r="D711" t="str">
        <f t="shared" si="20"/>
        <v>yes</v>
      </c>
      <c r="E711">
        <f>COUNTIF($B$8:$B$1006,"Tajikistan")</f>
        <v>5</v>
      </c>
      <c r="F711" s="23"/>
      <c r="G711" s="3" t="str">
        <f t="shared" si="21"/>
        <v/>
      </c>
      <c r="H711" s="14"/>
    </row>
    <row r="712" spans="1:8" x14ac:dyDescent="0.2">
      <c r="A712" t="s">
        <v>19</v>
      </c>
      <c r="B712" t="s">
        <v>45</v>
      </c>
      <c r="C712" s="14">
        <v>2007</v>
      </c>
      <c r="D712" t="str">
        <f t="shared" ref="D712:D775" si="22">IF(F712="LSMS","no","yes")</f>
        <v>yes</v>
      </c>
      <c r="E712">
        <f>COUNTIF($B$8:$B$1006,"Turkey")</f>
        <v>9</v>
      </c>
      <c r="F712" s="23"/>
      <c r="G712" s="3" t="str">
        <f t="shared" ref="G712:G775" si="23">IF(H712="","",1)</f>
        <v/>
      </c>
      <c r="H712" s="14"/>
    </row>
    <row r="713" spans="1:8" x14ac:dyDescent="0.2">
      <c r="A713" t="s">
        <v>19</v>
      </c>
      <c r="B713" t="s">
        <v>47</v>
      </c>
      <c r="C713" s="14">
        <v>2007</v>
      </c>
      <c r="D713" t="str">
        <f t="shared" si="22"/>
        <v>yes</v>
      </c>
      <c r="E713">
        <f>COUNTIF($B$8:$B$1006,"Ukraine")</f>
        <v>13</v>
      </c>
      <c r="F713" s="23"/>
      <c r="G713" s="3" t="str">
        <f t="shared" si="23"/>
        <v/>
      </c>
      <c r="H713" s="14"/>
    </row>
    <row r="714" spans="1:8" x14ac:dyDescent="0.2">
      <c r="A714" t="s">
        <v>49</v>
      </c>
      <c r="B714" t="s">
        <v>48</v>
      </c>
      <c r="C714" s="14">
        <v>2007</v>
      </c>
      <c r="D714" t="str">
        <f t="shared" si="22"/>
        <v>yes</v>
      </c>
      <c r="E714">
        <f>COUNTIF($B$8:$B$1006,"Argentina")</f>
        <v>22</v>
      </c>
      <c r="F714" s="23"/>
      <c r="G714" s="3" t="str">
        <f t="shared" si="23"/>
        <v/>
      </c>
      <c r="H714" s="14"/>
    </row>
    <row r="715" spans="1:8" x14ac:dyDescent="0.2">
      <c r="A715" t="s">
        <v>49</v>
      </c>
      <c r="B715" t="s">
        <v>51</v>
      </c>
      <c r="C715" s="14">
        <v>2007</v>
      </c>
      <c r="D715" t="str">
        <f t="shared" si="22"/>
        <v>yes</v>
      </c>
      <c r="E715">
        <f>COUNTIF($B$8:$B$1006,"Bolivia")</f>
        <v>11</v>
      </c>
      <c r="F715" s="23"/>
      <c r="G715" s="3" t="str">
        <f t="shared" si="23"/>
        <v/>
      </c>
      <c r="H715" s="14"/>
    </row>
    <row r="716" spans="1:8" x14ac:dyDescent="0.2">
      <c r="A716" t="s">
        <v>49</v>
      </c>
      <c r="B716" t="s">
        <v>52</v>
      </c>
      <c r="C716" s="14">
        <v>2007</v>
      </c>
      <c r="D716" t="str">
        <f t="shared" si="22"/>
        <v>yes</v>
      </c>
      <c r="E716">
        <f>COUNTIF($B$8:$B$1006,"Brazil")</f>
        <v>26</v>
      </c>
      <c r="F716" s="23"/>
      <c r="G716" s="3" t="str">
        <f t="shared" si="23"/>
        <v/>
      </c>
      <c r="H716" s="14"/>
    </row>
    <row r="717" spans="1:8" x14ac:dyDescent="0.2">
      <c r="A717" t="s">
        <v>49</v>
      </c>
      <c r="B717" t="s">
        <v>54</v>
      </c>
      <c r="C717" s="14">
        <v>2007</v>
      </c>
      <c r="D717" t="str">
        <f t="shared" si="22"/>
        <v>yes</v>
      </c>
      <c r="E717">
        <f>COUNTIF($B$8:$B$1006,"Colombia")</f>
        <v>18</v>
      </c>
      <c r="F717" s="23"/>
      <c r="G717" s="3" t="str">
        <f t="shared" si="23"/>
        <v/>
      </c>
      <c r="H717" s="14"/>
    </row>
    <row r="718" spans="1:8" x14ac:dyDescent="0.2">
      <c r="A718" t="s">
        <v>49</v>
      </c>
      <c r="B718" t="s">
        <v>55</v>
      </c>
      <c r="C718" s="14">
        <v>2007</v>
      </c>
      <c r="D718" t="str">
        <f t="shared" si="22"/>
        <v>yes</v>
      </c>
      <c r="E718">
        <f>COUNTIF($B$8:$B$1006,"Costa Rica")</f>
        <v>23</v>
      </c>
      <c r="F718" s="23"/>
      <c r="G718" s="3" t="str">
        <f t="shared" si="23"/>
        <v/>
      </c>
      <c r="H718" s="14"/>
    </row>
    <row r="719" spans="1:8" x14ac:dyDescent="0.2">
      <c r="A719" t="s">
        <v>49</v>
      </c>
      <c r="B719" t="s">
        <v>56</v>
      </c>
      <c r="C719" s="14">
        <v>2007</v>
      </c>
      <c r="D719" t="str">
        <f t="shared" si="22"/>
        <v>yes</v>
      </c>
      <c r="E719">
        <f>COUNTIF($B$8:$B$1006,"Dominican Republic")</f>
        <v>16</v>
      </c>
      <c r="F719" s="23"/>
      <c r="G719" s="3" t="str">
        <f t="shared" si="23"/>
        <v/>
      </c>
      <c r="H719" s="14"/>
    </row>
    <row r="720" spans="1:8" x14ac:dyDescent="0.2">
      <c r="A720" t="s">
        <v>49</v>
      </c>
      <c r="B720" t="s">
        <v>57</v>
      </c>
      <c r="C720" s="14">
        <v>2007</v>
      </c>
      <c r="D720" t="str">
        <f t="shared" si="22"/>
        <v>yes</v>
      </c>
      <c r="E720">
        <f>COUNTIF($B$8:$B$1006,"Ecuador")</f>
        <v>13</v>
      </c>
      <c r="F720" s="23"/>
      <c r="G720" s="3" t="str">
        <f t="shared" si="23"/>
        <v/>
      </c>
      <c r="H720" s="14"/>
    </row>
    <row r="721" spans="1:8" x14ac:dyDescent="0.2">
      <c r="A721" t="s">
        <v>49</v>
      </c>
      <c r="B721" t="s">
        <v>58</v>
      </c>
      <c r="C721" s="14">
        <v>2007</v>
      </c>
      <c r="D721" t="str">
        <f t="shared" si="22"/>
        <v>yes</v>
      </c>
      <c r="E721">
        <f>COUNTIF($B$8:$B$1006,"El Salvador")</f>
        <v>15</v>
      </c>
      <c r="F721" s="23"/>
      <c r="G721" s="3" t="str">
        <f t="shared" si="23"/>
        <v/>
      </c>
      <c r="H721" s="14"/>
    </row>
    <row r="722" spans="1:8" x14ac:dyDescent="0.2">
      <c r="A722" t="s">
        <v>49</v>
      </c>
      <c r="B722" t="s">
        <v>62</v>
      </c>
      <c r="C722" s="14">
        <v>2007</v>
      </c>
      <c r="D722" t="str">
        <f t="shared" si="22"/>
        <v>yes</v>
      </c>
      <c r="E722">
        <f>COUNTIF($B$8:$B$1006,"Honduras")</f>
        <v>21</v>
      </c>
      <c r="F722" s="23"/>
      <c r="G722" s="3" t="str">
        <f t="shared" si="23"/>
        <v/>
      </c>
      <c r="H722" s="14"/>
    </row>
    <row r="723" spans="1:8" x14ac:dyDescent="0.2">
      <c r="A723" t="s">
        <v>49</v>
      </c>
      <c r="B723" t="s">
        <v>67</v>
      </c>
      <c r="C723" s="14">
        <v>2007</v>
      </c>
      <c r="D723" t="str">
        <f t="shared" si="22"/>
        <v>yes</v>
      </c>
      <c r="E723">
        <f>COUNTIF($B$8:$B$1006,"Paraguay")</f>
        <v>14</v>
      </c>
      <c r="F723" s="23"/>
      <c r="G723" s="3" t="str">
        <f t="shared" si="23"/>
        <v/>
      </c>
      <c r="H723" s="14"/>
    </row>
    <row r="724" spans="1:8" x14ac:dyDescent="0.2">
      <c r="A724" t="s">
        <v>49</v>
      </c>
      <c r="B724" t="s">
        <v>68</v>
      </c>
      <c r="C724" s="14">
        <v>2007</v>
      </c>
      <c r="D724" t="str">
        <f t="shared" si="22"/>
        <v>yes</v>
      </c>
      <c r="E724">
        <f>COUNTIF($B$8:$B$1006,"Peru")</f>
        <v>16</v>
      </c>
      <c r="F724" s="23"/>
      <c r="G724" s="3" t="str">
        <f t="shared" si="23"/>
        <v/>
      </c>
      <c r="H724" s="14"/>
    </row>
    <row r="725" spans="1:8" x14ac:dyDescent="0.2">
      <c r="A725" t="s">
        <v>49</v>
      </c>
      <c r="B725" t="s">
        <v>72</v>
      </c>
      <c r="C725" s="14">
        <v>2007</v>
      </c>
      <c r="D725" t="str">
        <f t="shared" si="22"/>
        <v>yes</v>
      </c>
      <c r="E725">
        <f>COUNTIF($B$8:$B$1006,"Uruguay")</f>
        <v>18</v>
      </c>
      <c r="F725" s="23"/>
      <c r="G725" s="3" t="str">
        <f t="shared" si="23"/>
        <v/>
      </c>
      <c r="H725" s="14"/>
    </row>
    <row r="726" spans="1:8" x14ac:dyDescent="0.2">
      <c r="A726" t="s">
        <v>74</v>
      </c>
      <c r="B726" t="s">
        <v>81</v>
      </c>
      <c r="C726" s="14">
        <v>2007</v>
      </c>
      <c r="D726" t="str">
        <f t="shared" si="22"/>
        <v>yes</v>
      </c>
      <c r="E726">
        <f>COUNTIF($B$8:$B$1006,"Morocco")</f>
        <v>5</v>
      </c>
      <c r="F726" s="23"/>
      <c r="G726" s="3" t="str">
        <f t="shared" si="23"/>
        <v/>
      </c>
      <c r="H726" s="14"/>
    </row>
    <row r="727" spans="1:8" x14ac:dyDescent="0.2">
      <c r="A727" t="s">
        <v>74</v>
      </c>
      <c r="B727" t="s">
        <v>84</v>
      </c>
      <c r="C727" s="14">
        <v>2007</v>
      </c>
      <c r="D727" t="str">
        <f t="shared" si="22"/>
        <v>yes</v>
      </c>
      <c r="E727">
        <f>COUNTIF($B$8:$B$1006,"West Bank and Gaza")</f>
        <v>2</v>
      </c>
      <c r="F727" s="23"/>
      <c r="G727" s="3">
        <f t="shared" si="23"/>
        <v>1</v>
      </c>
      <c r="H727" s="14" t="s">
        <v>84</v>
      </c>
    </row>
    <row r="728" spans="1:8" x14ac:dyDescent="0.2">
      <c r="A728" t="s">
        <v>87</v>
      </c>
      <c r="B728" t="s">
        <v>88</v>
      </c>
      <c r="C728" s="14">
        <v>2007</v>
      </c>
      <c r="D728" t="str">
        <f t="shared" si="22"/>
        <v>yes</v>
      </c>
      <c r="E728">
        <f>COUNTIF($B$8:$B$1006,"Bhutan")</f>
        <v>2</v>
      </c>
      <c r="F728" s="23"/>
      <c r="G728" s="3" t="str">
        <f t="shared" si="23"/>
        <v/>
      </c>
      <c r="H728" s="14"/>
    </row>
    <row r="729" spans="1:8" x14ac:dyDescent="0.2">
      <c r="A729" t="s">
        <v>87</v>
      </c>
      <c r="B729" t="s">
        <v>93</v>
      </c>
      <c r="C729" s="14">
        <v>2007</v>
      </c>
      <c r="D729" t="str">
        <f t="shared" si="22"/>
        <v>yes</v>
      </c>
      <c r="E729">
        <f>COUNTIF($B$8:$B$1006,"Sri Lanka")</f>
        <v>5</v>
      </c>
      <c r="F729" s="23"/>
      <c r="G729" s="3" t="str">
        <f t="shared" si="23"/>
        <v/>
      </c>
      <c r="H729" s="14"/>
    </row>
    <row r="730" spans="1:8" x14ac:dyDescent="0.2">
      <c r="A730" t="s">
        <v>95</v>
      </c>
      <c r="B730" t="s">
        <v>100</v>
      </c>
      <c r="C730" s="14">
        <v>2007</v>
      </c>
      <c r="D730" t="str">
        <f t="shared" si="22"/>
        <v>yes</v>
      </c>
      <c r="E730">
        <f>COUNTIF($B$8:$B$1006,"Cameroon")</f>
        <v>3</v>
      </c>
      <c r="F730" s="23"/>
      <c r="G730" s="3" t="str">
        <f t="shared" si="23"/>
        <v/>
      </c>
      <c r="H730" s="14"/>
    </row>
    <row r="731" spans="1:8" x14ac:dyDescent="0.2">
      <c r="A731" t="s">
        <v>95</v>
      </c>
      <c r="B731" t="s">
        <v>112</v>
      </c>
      <c r="C731" s="14">
        <v>2007</v>
      </c>
      <c r="D731" t="str">
        <f t="shared" si="22"/>
        <v>yes</v>
      </c>
      <c r="E731">
        <f>COUNTIF($B$8:$B$1006,"Guinea")</f>
        <v>4</v>
      </c>
      <c r="F731" s="23"/>
      <c r="G731" s="3" t="str">
        <f t="shared" si="23"/>
        <v/>
      </c>
      <c r="H731" s="14"/>
    </row>
    <row r="732" spans="1:8" x14ac:dyDescent="0.2">
      <c r="A732" t="s">
        <v>95</v>
      </c>
      <c r="B732" t="s">
        <v>116</v>
      </c>
      <c r="C732" s="14">
        <v>2007</v>
      </c>
      <c r="D732" t="str">
        <f t="shared" si="22"/>
        <v>yes</v>
      </c>
      <c r="E732">
        <f>COUNTIF($B$8:$B$1006,"Liberia")</f>
        <v>1</v>
      </c>
      <c r="F732" s="23"/>
      <c r="G732" s="3">
        <f t="shared" si="23"/>
        <v>1</v>
      </c>
      <c r="H732" s="14" t="s">
        <v>116</v>
      </c>
    </row>
    <row r="733" spans="1:8" x14ac:dyDescent="0.2">
      <c r="A733" t="s">
        <v>95</v>
      </c>
      <c r="B733" t="s">
        <v>128</v>
      </c>
      <c r="C733" s="14">
        <v>2007</v>
      </c>
      <c r="D733" t="str">
        <f t="shared" si="22"/>
        <v>yes</v>
      </c>
      <c r="E733">
        <f>COUNTIF($B$8:$B$1006,"Seychelles")</f>
        <v>2</v>
      </c>
      <c r="F733" s="23"/>
      <c r="G733" s="3" t="str">
        <f t="shared" si="23"/>
        <v/>
      </c>
      <c r="H733" s="14"/>
    </row>
    <row r="734" spans="1:8" x14ac:dyDescent="0.2">
      <c r="A734" t="s">
        <v>95</v>
      </c>
      <c r="B734" t="s">
        <v>133</v>
      </c>
      <c r="C734" s="14">
        <v>2007</v>
      </c>
      <c r="D734" t="str">
        <f t="shared" si="22"/>
        <v>yes</v>
      </c>
      <c r="E734">
        <f>COUNTIF($B$8:$B$1006,"Tanzania")</f>
        <v>3</v>
      </c>
      <c r="F734" s="23"/>
      <c r="G734" s="3" t="str">
        <f t="shared" si="23"/>
        <v/>
      </c>
      <c r="H734" s="14"/>
    </row>
    <row r="735" spans="1:8" x14ac:dyDescent="0.2">
      <c r="A735" t="s">
        <v>4</v>
      </c>
      <c r="B735" t="s">
        <v>5</v>
      </c>
      <c r="C735" s="14">
        <v>2008</v>
      </c>
      <c r="D735" t="str">
        <f t="shared" si="22"/>
        <v>yes</v>
      </c>
      <c r="E735">
        <f>COUNTIF($B$8:$B$1006,"Cambodia")</f>
        <v>4</v>
      </c>
      <c r="F735" s="23"/>
      <c r="G735" s="3" t="str">
        <f t="shared" si="23"/>
        <v/>
      </c>
      <c r="H735" s="14"/>
    </row>
    <row r="736" spans="1:8" x14ac:dyDescent="0.2">
      <c r="A736" t="s">
        <v>4</v>
      </c>
      <c r="B736" t="s">
        <v>7</v>
      </c>
      <c r="C736" s="14">
        <v>2008</v>
      </c>
      <c r="D736" t="str">
        <f t="shared" si="22"/>
        <v>yes</v>
      </c>
      <c r="E736">
        <f>COUNTIF($B$8:$B$1006,"China")</f>
        <v>17</v>
      </c>
      <c r="F736" s="23"/>
      <c r="G736" s="3" t="str">
        <f t="shared" si="23"/>
        <v/>
      </c>
      <c r="H736" s="14"/>
    </row>
    <row r="737" spans="1:8" x14ac:dyDescent="0.2">
      <c r="A737" t="s">
        <v>4</v>
      </c>
      <c r="B737" t="s">
        <v>10</v>
      </c>
      <c r="C737" s="14">
        <v>2008</v>
      </c>
      <c r="D737" t="str">
        <f t="shared" si="22"/>
        <v>yes</v>
      </c>
      <c r="E737">
        <f>COUNTIF($B$8:$B$1006,"Indonesia")</f>
        <v>14</v>
      </c>
      <c r="F737" s="23"/>
      <c r="G737" s="3" t="str">
        <f t="shared" si="23"/>
        <v/>
      </c>
      <c r="H737" s="14"/>
    </row>
    <row r="738" spans="1:8" x14ac:dyDescent="0.2">
      <c r="A738" t="s">
        <v>4</v>
      </c>
      <c r="B738" t="s">
        <v>11</v>
      </c>
      <c r="C738" s="14">
        <v>2008</v>
      </c>
      <c r="D738" t="str">
        <f t="shared" si="22"/>
        <v>yes</v>
      </c>
      <c r="E738">
        <f>COUNTIF($B$8:$B$1006,"Lao PDR")</f>
        <v>4</v>
      </c>
      <c r="F738" s="23"/>
      <c r="G738" s="3" t="str">
        <f t="shared" si="23"/>
        <v/>
      </c>
      <c r="H738" s="14"/>
    </row>
    <row r="739" spans="1:8" x14ac:dyDescent="0.2">
      <c r="A739" t="s">
        <v>4</v>
      </c>
      <c r="B739" t="s">
        <v>16</v>
      </c>
      <c r="C739" s="14">
        <v>2008</v>
      </c>
      <c r="D739" t="str">
        <f t="shared" si="22"/>
        <v>yes</v>
      </c>
      <c r="E739">
        <f>COUNTIF($B$8:$B$1006,"Thailand")</f>
        <v>13</v>
      </c>
      <c r="F739" s="23"/>
      <c r="G739" s="3" t="str">
        <f t="shared" si="23"/>
        <v/>
      </c>
      <c r="H739" s="14"/>
    </row>
    <row r="740" spans="1:8" x14ac:dyDescent="0.2">
      <c r="A740" t="s">
        <v>4</v>
      </c>
      <c r="B740" t="s">
        <v>18</v>
      </c>
      <c r="C740" s="14">
        <v>2008</v>
      </c>
      <c r="D740" t="str">
        <f t="shared" si="22"/>
        <v>yes</v>
      </c>
      <c r="E740">
        <f>COUNTIF($B$8:$B$1006,"Vietnam")</f>
        <v>6</v>
      </c>
      <c r="F740" s="23"/>
      <c r="G740" s="3" t="str">
        <f t="shared" si="23"/>
        <v/>
      </c>
      <c r="H740" s="14"/>
    </row>
    <row r="741" spans="1:8" x14ac:dyDescent="0.2">
      <c r="A741" t="s">
        <v>19</v>
      </c>
      <c r="B741" t="s">
        <v>20</v>
      </c>
      <c r="C741" s="14">
        <v>2008</v>
      </c>
      <c r="D741" t="str">
        <f t="shared" si="22"/>
        <v>yes</v>
      </c>
      <c r="E741">
        <f>COUNTIF($B$8:$B$1006,"Albania")</f>
        <v>5</v>
      </c>
      <c r="F741" s="23"/>
      <c r="G741" s="3" t="str">
        <f t="shared" si="23"/>
        <v/>
      </c>
      <c r="H741" s="14"/>
    </row>
    <row r="742" spans="1:8" x14ac:dyDescent="0.2">
      <c r="A742" t="s">
        <v>19</v>
      </c>
      <c r="B742" t="s">
        <v>21</v>
      </c>
      <c r="C742" s="14">
        <v>2008</v>
      </c>
      <c r="D742" t="str">
        <f t="shared" si="22"/>
        <v>yes</v>
      </c>
      <c r="E742">
        <f>COUNTIF($B$8:$B$1006,"Armenia")</f>
        <v>10</v>
      </c>
      <c r="F742" s="23"/>
      <c r="G742" s="3" t="str">
        <f t="shared" si="23"/>
        <v/>
      </c>
      <c r="H742" s="14"/>
    </row>
    <row r="743" spans="1:8" x14ac:dyDescent="0.2">
      <c r="A743" t="s">
        <v>19</v>
      </c>
      <c r="B743" t="s">
        <v>22</v>
      </c>
      <c r="C743" s="14">
        <v>2008</v>
      </c>
      <c r="D743" t="str">
        <f t="shared" si="22"/>
        <v>yes</v>
      </c>
      <c r="E743">
        <f>COUNTIF($B$8:$B$1006,"Azerbaijan")</f>
        <v>3</v>
      </c>
      <c r="F743" s="23"/>
      <c r="G743" s="3" t="str">
        <f t="shared" si="23"/>
        <v/>
      </c>
      <c r="H743" s="14"/>
    </row>
    <row r="744" spans="1:8" x14ac:dyDescent="0.2">
      <c r="A744" t="s">
        <v>19</v>
      </c>
      <c r="B744" t="s">
        <v>23</v>
      </c>
      <c r="C744" s="14">
        <v>2008</v>
      </c>
      <c r="D744" t="str">
        <f t="shared" si="22"/>
        <v>yes</v>
      </c>
      <c r="E744">
        <f>COUNTIF($B$8:$B$1006,"Belarus")</f>
        <v>12</v>
      </c>
      <c r="F744" s="23"/>
      <c r="G744" s="3" t="str">
        <f t="shared" si="23"/>
        <v/>
      </c>
      <c r="H744" s="14"/>
    </row>
    <row r="745" spans="1:8" x14ac:dyDescent="0.2">
      <c r="A745" t="s">
        <v>19</v>
      </c>
      <c r="B745" t="s">
        <v>26</v>
      </c>
      <c r="C745" s="14">
        <v>2008</v>
      </c>
      <c r="D745" t="str">
        <f t="shared" si="22"/>
        <v>yes</v>
      </c>
      <c r="E745">
        <f>COUNTIF($B$8:$B$1006,"Croatia")</f>
        <v>7</v>
      </c>
      <c r="F745" s="23"/>
      <c r="G745" s="3" t="str">
        <f t="shared" si="23"/>
        <v/>
      </c>
      <c r="H745" s="14"/>
    </row>
    <row r="746" spans="1:8" x14ac:dyDescent="0.2">
      <c r="A746" t="s">
        <v>19</v>
      </c>
      <c r="B746" t="s">
        <v>29</v>
      </c>
      <c r="C746" s="14">
        <v>2008</v>
      </c>
      <c r="D746" t="str">
        <f t="shared" si="22"/>
        <v>yes</v>
      </c>
      <c r="E746">
        <f>COUNTIF($B$8:$B$1006,"Georgia")</f>
        <v>12</v>
      </c>
      <c r="F746" s="23"/>
      <c r="G746" s="3" t="str">
        <f t="shared" si="23"/>
        <v/>
      </c>
      <c r="H746" s="14"/>
    </row>
    <row r="747" spans="1:8" x14ac:dyDescent="0.2">
      <c r="A747" t="s">
        <v>19</v>
      </c>
      <c r="B747" t="s">
        <v>31</v>
      </c>
      <c r="C747" s="14">
        <v>2008</v>
      </c>
      <c r="D747" t="str">
        <f t="shared" si="22"/>
        <v>yes</v>
      </c>
      <c r="E747">
        <f>COUNTIF($B$8:$B$1006,"Kazakhstan")</f>
        <v>11</v>
      </c>
      <c r="F747" s="23"/>
      <c r="G747" s="3" t="str">
        <f t="shared" si="23"/>
        <v/>
      </c>
      <c r="H747" s="14"/>
    </row>
    <row r="748" spans="1:8" x14ac:dyDescent="0.2">
      <c r="A748" t="s">
        <v>19</v>
      </c>
      <c r="B748" t="s">
        <v>32</v>
      </c>
      <c r="C748" s="14">
        <v>2008</v>
      </c>
      <c r="D748" t="str">
        <f t="shared" si="22"/>
        <v>yes</v>
      </c>
      <c r="E748">
        <f>COUNTIF($B$8:$B$1006,"Kyrgyz Republic")</f>
        <v>10</v>
      </c>
      <c r="F748" s="23"/>
      <c r="G748" s="3" t="str">
        <f t="shared" si="23"/>
        <v/>
      </c>
      <c r="H748" s="14"/>
    </row>
    <row r="749" spans="1:8" x14ac:dyDescent="0.2">
      <c r="A749" t="s">
        <v>19</v>
      </c>
      <c r="B749" t="s">
        <v>33</v>
      </c>
      <c r="C749" s="14">
        <v>2008</v>
      </c>
      <c r="D749" t="str">
        <f t="shared" si="22"/>
        <v>yes</v>
      </c>
      <c r="E749">
        <f>COUNTIF($B$8:$B$1006,"Latvia")</f>
        <v>11</v>
      </c>
      <c r="F749" s="23"/>
      <c r="G749" s="3" t="str">
        <f t="shared" si="23"/>
        <v/>
      </c>
      <c r="H749" s="14"/>
    </row>
    <row r="750" spans="1:8" x14ac:dyDescent="0.2">
      <c r="A750" t="s">
        <v>19</v>
      </c>
      <c r="B750" t="s">
        <v>34</v>
      </c>
      <c r="C750" s="14">
        <v>2008</v>
      </c>
      <c r="D750" t="str">
        <f t="shared" si="22"/>
        <v>yes</v>
      </c>
      <c r="E750">
        <f>COUNTIF($B$8:$B$1006,"Lithuania")</f>
        <v>9</v>
      </c>
      <c r="F750" s="23"/>
      <c r="G750" s="3" t="str">
        <f t="shared" si="23"/>
        <v/>
      </c>
      <c r="H750" s="14"/>
    </row>
    <row r="751" spans="1:8" x14ac:dyDescent="0.2">
      <c r="A751" t="s">
        <v>19</v>
      </c>
      <c r="B751" t="s">
        <v>35</v>
      </c>
      <c r="C751" s="14">
        <v>2008</v>
      </c>
      <c r="D751" t="str">
        <f t="shared" si="22"/>
        <v>yes</v>
      </c>
      <c r="E751">
        <f>COUNTIF($B$8:$B$1006,"Macedonia")</f>
        <v>9</v>
      </c>
      <c r="F751" s="23"/>
      <c r="G751" s="3" t="str">
        <f t="shared" si="23"/>
        <v/>
      </c>
      <c r="H751" s="14"/>
    </row>
    <row r="752" spans="1:8" x14ac:dyDescent="0.2">
      <c r="A752" t="s">
        <v>19</v>
      </c>
      <c r="B752" t="s">
        <v>36</v>
      </c>
      <c r="C752" s="14">
        <v>2008</v>
      </c>
      <c r="D752" t="str">
        <f t="shared" si="22"/>
        <v>yes</v>
      </c>
      <c r="E752">
        <f>COUNTIF($B$8:$B$1006,"Moldova")</f>
        <v>15</v>
      </c>
      <c r="F752" s="23"/>
      <c r="G752" s="3" t="str">
        <f t="shared" si="23"/>
        <v/>
      </c>
      <c r="H752" s="14"/>
    </row>
    <row r="753" spans="1:8" x14ac:dyDescent="0.2">
      <c r="A753" t="s">
        <v>19</v>
      </c>
      <c r="B753" t="s">
        <v>37</v>
      </c>
      <c r="C753" s="14">
        <v>2008</v>
      </c>
      <c r="D753" t="str">
        <f t="shared" si="22"/>
        <v>yes</v>
      </c>
      <c r="E753">
        <f>COUNTIF($B$8:$B$1006,"Montenegro")</f>
        <v>4</v>
      </c>
      <c r="F753" s="23"/>
      <c r="G753" s="3" t="str">
        <f t="shared" si="23"/>
        <v/>
      </c>
      <c r="H753" s="14"/>
    </row>
    <row r="754" spans="1:8" x14ac:dyDescent="0.2">
      <c r="A754" t="s">
        <v>19</v>
      </c>
      <c r="B754" t="s">
        <v>38</v>
      </c>
      <c r="C754" s="14">
        <v>2008</v>
      </c>
      <c r="D754" t="str">
        <f t="shared" si="22"/>
        <v>yes</v>
      </c>
      <c r="E754">
        <f>COUNTIF($B$8:$B$1006,"Poland")</f>
        <v>17</v>
      </c>
      <c r="F754" s="23"/>
      <c r="G754" s="3" t="str">
        <f t="shared" si="23"/>
        <v/>
      </c>
      <c r="H754" s="14"/>
    </row>
    <row r="755" spans="1:8" x14ac:dyDescent="0.2">
      <c r="A755" t="s">
        <v>19</v>
      </c>
      <c r="B755" t="s">
        <v>39</v>
      </c>
      <c r="C755" s="14">
        <v>2008</v>
      </c>
      <c r="D755" t="str">
        <f t="shared" si="22"/>
        <v>yes</v>
      </c>
      <c r="E755">
        <f>COUNTIF($B$8:$B$1006,"Romania")</f>
        <v>14</v>
      </c>
      <c r="F755" s="23"/>
      <c r="G755" s="3" t="str">
        <f t="shared" si="23"/>
        <v/>
      </c>
      <c r="H755" s="14"/>
    </row>
    <row r="756" spans="1:8" x14ac:dyDescent="0.2">
      <c r="A756" t="s">
        <v>19</v>
      </c>
      <c r="B756" t="s">
        <v>40</v>
      </c>
      <c r="C756" s="14">
        <v>2008</v>
      </c>
      <c r="D756" t="str">
        <f t="shared" si="22"/>
        <v>yes</v>
      </c>
      <c r="E756">
        <f>COUNTIF($B$8:$B$1006,"Russian Federation")</f>
        <v>13</v>
      </c>
      <c r="F756" s="23"/>
      <c r="G756" s="3" t="str">
        <f t="shared" si="23"/>
        <v/>
      </c>
      <c r="H756" s="14"/>
    </row>
    <row r="757" spans="1:8" x14ac:dyDescent="0.2">
      <c r="A757" t="s">
        <v>19</v>
      </c>
      <c r="B757" t="s">
        <v>41</v>
      </c>
      <c r="C757" s="14">
        <v>2008</v>
      </c>
      <c r="D757" t="str">
        <f t="shared" si="22"/>
        <v>yes</v>
      </c>
      <c r="E757">
        <f>COUNTIF($B$8:$B$1006,"Serbia")</f>
        <v>8</v>
      </c>
      <c r="F757" s="23"/>
      <c r="G757" s="3" t="str">
        <f t="shared" si="23"/>
        <v/>
      </c>
      <c r="H757" s="14"/>
    </row>
    <row r="758" spans="1:8" x14ac:dyDescent="0.2">
      <c r="A758" t="s">
        <v>19</v>
      </c>
      <c r="B758" t="s">
        <v>42</v>
      </c>
      <c r="C758" s="14">
        <v>2008</v>
      </c>
      <c r="D758" t="str">
        <f t="shared" si="22"/>
        <v>yes</v>
      </c>
      <c r="E758">
        <f>COUNTIF($B$8:$B$1006,"Slovak Republic")</f>
        <v>9</v>
      </c>
      <c r="F758" s="23"/>
      <c r="G758" s="3" t="str">
        <f t="shared" si="23"/>
        <v/>
      </c>
      <c r="H758" s="14"/>
    </row>
    <row r="759" spans="1:8" x14ac:dyDescent="0.2">
      <c r="A759" t="s">
        <v>19</v>
      </c>
      <c r="B759" t="s">
        <v>45</v>
      </c>
      <c r="C759" s="14">
        <v>2008</v>
      </c>
      <c r="D759" t="str">
        <f t="shared" si="22"/>
        <v>yes</v>
      </c>
      <c r="E759">
        <f>COUNTIF($B$8:$B$1006,"Turkey")</f>
        <v>9</v>
      </c>
      <c r="F759" s="23"/>
      <c r="G759" s="3" t="str">
        <f t="shared" si="23"/>
        <v/>
      </c>
      <c r="H759" s="14"/>
    </row>
    <row r="760" spans="1:8" x14ac:dyDescent="0.2">
      <c r="A760" t="s">
        <v>19</v>
      </c>
      <c r="B760" t="s">
        <v>47</v>
      </c>
      <c r="C760" s="14">
        <v>2008</v>
      </c>
      <c r="D760" t="str">
        <f t="shared" si="22"/>
        <v>yes</v>
      </c>
      <c r="E760">
        <f>COUNTIF($B$8:$B$1006,"Ukraine")</f>
        <v>13</v>
      </c>
      <c r="F760" s="23"/>
      <c r="G760" s="3" t="str">
        <f t="shared" si="23"/>
        <v/>
      </c>
      <c r="H760" s="14"/>
    </row>
    <row r="761" spans="1:8" x14ac:dyDescent="0.2">
      <c r="A761" t="s">
        <v>49</v>
      </c>
      <c r="B761" t="s">
        <v>48</v>
      </c>
      <c r="C761" s="14">
        <v>2008</v>
      </c>
      <c r="D761" t="str">
        <f t="shared" si="22"/>
        <v>yes</v>
      </c>
      <c r="E761">
        <f>COUNTIF($B$8:$B$1006,"Argentina")</f>
        <v>22</v>
      </c>
      <c r="F761" s="23"/>
      <c r="G761" s="3" t="str">
        <f t="shared" si="23"/>
        <v/>
      </c>
      <c r="H761" s="14"/>
    </row>
    <row r="762" spans="1:8" x14ac:dyDescent="0.2">
      <c r="A762" t="s">
        <v>49</v>
      </c>
      <c r="B762" t="s">
        <v>51</v>
      </c>
      <c r="C762" s="14">
        <v>2008</v>
      </c>
      <c r="D762" t="str">
        <f t="shared" si="22"/>
        <v>yes</v>
      </c>
      <c r="E762">
        <f>COUNTIF($B$8:$B$1006,"Bolivia")</f>
        <v>11</v>
      </c>
      <c r="F762" s="23"/>
      <c r="G762" s="3" t="str">
        <f t="shared" si="23"/>
        <v/>
      </c>
      <c r="H762" s="14"/>
    </row>
    <row r="763" spans="1:8" x14ac:dyDescent="0.2">
      <c r="A763" t="s">
        <v>49</v>
      </c>
      <c r="B763" t="s">
        <v>52</v>
      </c>
      <c r="C763" s="14">
        <v>2008</v>
      </c>
      <c r="D763" t="str">
        <f t="shared" si="22"/>
        <v>yes</v>
      </c>
      <c r="E763">
        <f>COUNTIF($B$8:$B$1006,"Brazil")</f>
        <v>26</v>
      </c>
      <c r="F763" s="23"/>
      <c r="G763" s="3" t="str">
        <f t="shared" si="23"/>
        <v/>
      </c>
      <c r="H763" s="14"/>
    </row>
    <row r="764" spans="1:8" x14ac:dyDescent="0.2">
      <c r="A764" t="s">
        <v>49</v>
      </c>
      <c r="B764" t="s">
        <v>54</v>
      </c>
      <c r="C764" s="14">
        <v>2008</v>
      </c>
      <c r="D764" t="str">
        <f t="shared" si="22"/>
        <v>yes</v>
      </c>
      <c r="E764">
        <f>COUNTIF($B$8:$B$1006,"Colombia")</f>
        <v>18</v>
      </c>
      <c r="F764" s="23"/>
      <c r="G764" s="3" t="str">
        <f t="shared" si="23"/>
        <v/>
      </c>
      <c r="H764" s="14"/>
    </row>
    <row r="765" spans="1:8" x14ac:dyDescent="0.2">
      <c r="A765" t="s">
        <v>49</v>
      </c>
      <c r="B765" t="s">
        <v>55</v>
      </c>
      <c r="C765" s="14">
        <v>2008</v>
      </c>
      <c r="D765" t="str">
        <f t="shared" si="22"/>
        <v>yes</v>
      </c>
      <c r="E765">
        <f>COUNTIF($B$8:$B$1006,"Costa Rica")</f>
        <v>23</v>
      </c>
      <c r="F765" s="23"/>
      <c r="G765" s="3" t="str">
        <f t="shared" si="23"/>
        <v/>
      </c>
      <c r="H765" s="14"/>
    </row>
    <row r="766" spans="1:8" x14ac:dyDescent="0.2">
      <c r="A766" t="s">
        <v>49</v>
      </c>
      <c r="B766" t="s">
        <v>56</v>
      </c>
      <c r="C766" s="14">
        <v>2008</v>
      </c>
      <c r="D766" t="str">
        <f t="shared" si="22"/>
        <v>yes</v>
      </c>
      <c r="E766">
        <f>COUNTIF($B$8:$B$1006,"Dominican Republic")</f>
        <v>16</v>
      </c>
      <c r="F766" s="23"/>
      <c r="G766" s="3" t="str">
        <f t="shared" si="23"/>
        <v/>
      </c>
      <c r="H766" s="14"/>
    </row>
    <row r="767" spans="1:8" x14ac:dyDescent="0.2">
      <c r="A767" t="s">
        <v>49</v>
      </c>
      <c r="B767" t="s">
        <v>57</v>
      </c>
      <c r="C767" s="14">
        <v>2008</v>
      </c>
      <c r="D767" t="str">
        <f t="shared" si="22"/>
        <v>yes</v>
      </c>
      <c r="E767">
        <f>COUNTIF($B$8:$B$1006,"Ecuador")</f>
        <v>13</v>
      </c>
      <c r="F767" s="23"/>
      <c r="G767" s="3" t="str">
        <f t="shared" si="23"/>
        <v/>
      </c>
      <c r="H767" s="14"/>
    </row>
    <row r="768" spans="1:8" x14ac:dyDescent="0.2">
      <c r="A768" t="s">
        <v>49</v>
      </c>
      <c r="B768" t="s">
        <v>58</v>
      </c>
      <c r="C768" s="14">
        <v>2008</v>
      </c>
      <c r="D768" t="str">
        <f t="shared" si="22"/>
        <v>yes</v>
      </c>
      <c r="E768">
        <f>COUNTIF($B$8:$B$1006,"El Salvador")</f>
        <v>15</v>
      </c>
      <c r="F768" s="23"/>
      <c r="G768" s="3" t="str">
        <f t="shared" si="23"/>
        <v/>
      </c>
      <c r="H768" s="14"/>
    </row>
    <row r="769" spans="1:8" x14ac:dyDescent="0.2">
      <c r="A769" t="s">
        <v>49</v>
      </c>
      <c r="B769" t="s">
        <v>62</v>
      </c>
      <c r="C769" s="14">
        <v>2008</v>
      </c>
      <c r="D769" t="str">
        <f t="shared" si="22"/>
        <v>yes</v>
      </c>
      <c r="E769">
        <f>COUNTIF($B$8:$B$1006,"Honduras")</f>
        <v>21</v>
      </c>
      <c r="F769" s="23"/>
      <c r="G769" s="3" t="str">
        <f t="shared" si="23"/>
        <v/>
      </c>
      <c r="H769" s="14"/>
    </row>
    <row r="770" spans="1:8" x14ac:dyDescent="0.2">
      <c r="A770" t="s">
        <v>49</v>
      </c>
      <c r="B770" t="s">
        <v>64</v>
      </c>
      <c r="C770" s="14">
        <v>2008</v>
      </c>
      <c r="D770" t="str">
        <f t="shared" si="22"/>
        <v>yes</v>
      </c>
      <c r="E770">
        <f>COUNTIF($B$8:$B$1006,"Mexico")</f>
        <v>13</v>
      </c>
      <c r="F770" s="23"/>
      <c r="G770" s="3" t="str">
        <f t="shared" si="23"/>
        <v/>
      </c>
      <c r="H770" s="14"/>
    </row>
    <row r="771" spans="1:8" x14ac:dyDescent="0.2">
      <c r="A771" t="s">
        <v>49</v>
      </c>
      <c r="B771" t="s">
        <v>67</v>
      </c>
      <c r="C771" s="14">
        <v>2008</v>
      </c>
      <c r="D771" t="str">
        <f t="shared" si="22"/>
        <v>yes</v>
      </c>
      <c r="E771">
        <f>COUNTIF($B$8:$B$1006,"Paraguay")</f>
        <v>14</v>
      </c>
      <c r="F771" s="23"/>
      <c r="G771" s="3" t="str">
        <f t="shared" si="23"/>
        <v/>
      </c>
      <c r="H771" s="14"/>
    </row>
    <row r="772" spans="1:8" x14ac:dyDescent="0.2">
      <c r="A772" t="s">
        <v>49</v>
      </c>
      <c r="B772" t="s">
        <v>68</v>
      </c>
      <c r="C772" s="14">
        <v>2008</v>
      </c>
      <c r="D772" t="str">
        <f t="shared" si="22"/>
        <v>yes</v>
      </c>
      <c r="E772">
        <f>COUNTIF($B$8:$B$1006,"Peru")</f>
        <v>16</v>
      </c>
      <c r="F772" s="23"/>
      <c r="G772" s="3" t="str">
        <f t="shared" si="23"/>
        <v/>
      </c>
      <c r="H772" s="14"/>
    </row>
    <row r="773" spans="1:8" x14ac:dyDescent="0.2">
      <c r="A773" t="s">
        <v>49</v>
      </c>
      <c r="B773" t="s">
        <v>72</v>
      </c>
      <c r="C773" s="14">
        <v>2008</v>
      </c>
      <c r="D773" t="str">
        <f t="shared" si="22"/>
        <v>yes</v>
      </c>
      <c r="E773">
        <f>COUNTIF($B$8:$B$1006,"Uruguay")</f>
        <v>18</v>
      </c>
      <c r="F773" s="23"/>
      <c r="G773" s="3" t="str">
        <f t="shared" si="23"/>
        <v/>
      </c>
      <c r="H773" s="14"/>
    </row>
    <row r="774" spans="1:8" x14ac:dyDescent="0.2">
      <c r="A774" t="s">
        <v>74</v>
      </c>
      <c r="B774" t="s">
        <v>77</v>
      </c>
      <c r="C774" s="14">
        <v>2008</v>
      </c>
      <c r="D774" t="str">
        <f t="shared" si="22"/>
        <v>yes</v>
      </c>
      <c r="E774">
        <f>COUNTIF($B$8:$B$1006,"Egypt")</f>
        <v>5</v>
      </c>
      <c r="F774" s="23"/>
      <c r="G774" s="3" t="str">
        <f t="shared" si="23"/>
        <v/>
      </c>
      <c r="H774" s="14"/>
    </row>
    <row r="775" spans="1:8" x14ac:dyDescent="0.2">
      <c r="A775" t="s">
        <v>74</v>
      </c>
      <c r="B775" t="s">
        <v>80</v>
      </c>
      <c r="C775" s="14">
        <v>2008</v>
      </c>
      <c r="D775" t="str">
        <f t="shared" si="22"/>
        <v>yes</v>
      </c>
      <c r="E775">
        <f>COUNTIF($B$8:$B$1006,"Jordan")</f>
        <v>7</v>
      </c>
      <c r="F775" s="23"/>
      <c r="G775" s="3" t="str">
        <f t="shared" si="23"/>
        <v/>
      </c>
      <c r="H775" s="14"/>
    </row>
    <row r="776" spans="1:8" x14ac:dyDescent="0.2">
      <c r="A776" t="s">
        <v>87</v>
      </c>
      <c r="B776" t="s">
        <v>92</v>
      </c>
      <c r="C776" s="14">
        <v>2008</v>
      </c>
      <c r="D776" t="str">
        <f t="shared" ref="D776:D834" si="24">IF(F776="LSMS","no","yes")</f>
        <v>yes</v>
      </c>
      <c r="E776">
        <f>COUNTIF($B$8:$B$1006,"Pakistan")</f>
        <v>8</v>
      </c>
      <c r="F776" s="23"/>
      <c r="G776" s="3" t="str">
        <f t="shared" ref="G776:G834" si="25">IF(H776="","",1)</f>
        <v/>
      </c>
      <c r="H776" s="14"/>
    </row>
    <row r="777" spans="1:8" x14ac:dyDescent="0.2">
      <c r="A777" t="s">
        <v>95</v>
      </c>
      <c r="B777" t="s">
        <v>102</v>
      </c>
      <c r="C777" s="14">
        <v>2008</v>
      </c>
      <c r="D777" t="str">
        <f t="shared" si="24"/>
        <v>yes</v>
      </c>
      <c r="E777">
        <f>COUNTIF($B$8:$B$1006,"Central African Republic")</f>
        <v>3</v>
      </c>
      <c r="F777" s="23"/>
      <c r="G777" s="3" t="str">
        <f t="shared" si="25"/>
        <v/>
      </c>
      <c r="H777" s="14"/>
    </row>
    <row r="778" spans="1:8" x14ac:dyDescent="0.2">
      <c r="A778" t="s">
        <v>95</v>
      </c>
      <c r="B778" t="s">
        <v>107</v>
      </c>
      <c r="C778" s="14">
        <v>2008</v>
      </c>
      <c r="D778" t="str">
        <f t="shared" si="24"/>
        <v>yes</v>
      </c>
      <c r="E778">
        <f>COUNTIF($B$8:$B$1006,"Cote D'Ivoire")</f>
        <v>9</v>
      </c>
      <c r="F778" s="23"/>
      <c r="G778" s="3" t="str">
        <f t="shared" si="25"/>
        <v/>
      </c>
      <c r="H778" s="14"/>
    </row>
    <row r="779" spans="1:8" x14ac:dyDescent="0.2">
      <c r="A779" t="s">
        <v>95</v>
      </c>
      <c r="B779" t="s">
        <v>120</v>
      </c>
      <c r="C779" s="14">
        <v>2008</v>
      </c>
      <c r="D779" t="str">
        <f t="shared" si="24"/>
        <v>yes</v>
      </c>
      <c r="E779">
        <f>COUNTIF($B$8:$B$1006,"Mauritania")</f>
        <v>6</v>
      </c>
      <c r="F779" s="23"/>
      <c r="G779" s="3" t="str">
        <f t="shared" si="25"/>
        <v/>
      </c>
      <c r="H779" s="14"/>
    </row>
    <row r="780" spans="1:8" x14ac:dyDescent="0.2">
      <c r="A780" t="s">
        <v>95</v>
      </c>
      <c r="B780" t="s">
        <v>121</v>
      </c>
      <c r="C780" s="14">
        <v>2008</v>
      </c>
      <c r="D780" t="str">
        <f t="shared" si="24"/>
        <v>yes</v>
      </c>
      <c r="E780">
        <f>COUNTIF($B$8:$B$1006,"Mozambique")</f>
        <v>3</v>
      </c>
      <c r="F780" s="23"/>
      <c r="G780" s="3" t="str">
        <f t="shared" si="25"/>
        <v/>
      </c>
      <c r="H780" s="14"/>
    </row>
    <row r="781" spans="1:8" x14ac:dyDescent="0.2">
      <c r="A781" t="s">
        <v>95</v>
      </c>
      <c r="B781" t="s">
        <v>123</v>
      </c>
      <c r="C781" s="14">
        <v>2008</v>
      </c>
      <c r="D781" t="str">
        <f t="shared" si="24"/>
        <v>yes</v>
      </c>
      <c r="E781">
        <f>COUNTIF($B$8:$B$1006,"Niger")</f>
        <v>4</v>
      </c>
      <c r="F781" s="23"/>
      <c r="G781" s="3" t="str">
        <f t="shared" si="25"/>
        <v/>
      </c>
      <c r="H781" s="14"/>
    </row>
    <row r="782" spans="1:8" x14ac:dyDescent="0.2">
      <c r="A782" t="s">
        <v>4</v>
      </c>
      <c r="B782" t="s">
        <v>9</v>
      </c>
      <c r="C782" s="14">
        <v>2009</v>
      </c>
      <c r="D782" t="str">
        <f t="shared" si="24"/>
        <v>yes</v>
      </c>
      <c r="E782">
        <f>COUNTIF($B$8:$B$1006,"Fiji")</f>
        <v>2</v>
      </c>
      <c r="F782" s="23"/>
      <c r="G782" s="3" t="str">
        <f t="shared" si="25"/>
        <v/>
      </c>
      <c r="H782" s="14"/>
    </row>
    <row r="783" spans="1:8" x14ac:dyDescent="0.2">
      <c r="A783" t="s">
        <v>4</v>
      </c>
      <c r="B783" t="s">
        <v>10</v>
      </c>
      <c r="C783" s="14">
        <v>2009</v>
      </c>
      <c r="D783" t="str">
        <f t="shared" si="24"/>
        <v>yes</v>
      </c>
      <c r="E783">
        <f>COUNTIF($B$8:$B$1006,"Indonesia")</f>
        <v>14</v>
      </c>
      <c r="F783" s="23"/>
      <c r="G783" s="3" t="str">
        <f t="shared" si="25"/>
        <v/>
      </c>
      <c r="H783" s="14"/>
    </row>
    <row r="784" spans="1:8" x14ac:dyDescent="0.2">
      <c r="A784" t="s">
        <v>4</v>
      </c>
      <c r="B784" t="s">
        <v>12</v>
      </c>
      <c r="C784" s="14">
        <v>2009</v>
      </c>
      <c r="D784" t="str">
        <f t="shared" si="24"/>
        <v>yes</v>
      </c>
      <c r="E784">
        <f>COUNTIF($B$8:$B$1006,"Malaysia")</f>
        <v>9</v>
      </c>
      <c r="F784" s="23"/>
      <c r="G784" s="3" t="str">
        <f t="shared" si="25"/>
        <v/>
      </c>
      <c r="H784" s="14"/>
    </row>
    <row r="785" spans="1:8" x14ac:dyDescent="0.2">
      <c r="A785" t="s">
        <v>4</v>
      </c>
      <c r="B785" t="s">
        <v>15</v>
      </c>
      <c r="C785" s="14">
        <v>2009</v>
      </c>
      <c r="D785" t="str">
        <f t="shared" si="24"/>
        <v>yes</v>
      </c>
      <c r="E785">
        <f>COUNTIF($B$8:$B$1006,"Philippines")</f>
        <v>9</v>
      </c>
      <c r="F785" s="23"/>
      <c r="G785" s="3" t="str">
        <f t="shared" si="25"/>
        <v/>
      </c>
      <c r="H785" s="14"/>
    </row>
    <row r="786" spans="1:8" x14ac:dyDescent="0.2">
      <c r="A786" t="s">
        <v>4</v>
      </c>
      <c r="B786" t="s">
        <v>16</v>
      </c>
      <c r="C786" s="14">
        <v>2009</v>
      </c>
      <c r="D786" t="str">
        <f t="shared" si="24"/>
        <v>yes</v>
      </c>
      <c r="E786">
        <f>COUNTIF($B$8:$B$1006,"Thailand")</f>
        <v>13</v>
      </c>
      <c r="F786" s="23"/>
      <c r="G786" s="3" t="str">
        <f t="shared" si="25"/>
        <v/>
      </c>
      <c r="H786" s="14"/>
    </row>
    <row r="787" spans="1:8" x14ac:dyDescent="0.2">
      <c r="A787" t="s">
        <v>19</v>
      </c>
      <c r="B787" t="s">
        <v>31</v>
      </c>
      <c r="C787" s="14">
        <v>2009</v>
      </c>
      <c r="D787" t="str">
        <f t="shared" si="24"/>
        <v>yes</v>
      </c>
      <c r="E787">
        <f>COUNTIF($B$8:$B$1006,"Kazakhstan")</f>
        <v>11</v>
      </c>
      <c r="F787" s="23"/>
      <c r="G787" s="3" t="str">
        <f t="shared" si="25"/>
        <v/>
      </c>
      <c r="H787" s="14"/>
    </row>
    <row r="788" spans="1:8" x14ac:dyDescent="0.2">
      <c r="A788" t="s">
        <v>19</v>
      </c>
      <c r="B788" t="s">
        <v>32</v>
      </c>
      <c r="C788" s="14">
        <v>2009</v>
      </c>
      <c r="D788" t="str">
        <f t="shared" si="24"/>
        <v>yes</v>
      </c>
      <c r="E788">
        <f>COUNTIF($B$8:$B$1006,"Kyrgyz Republic")</f>
        <v>10</v>
      </c>
      <c r="F788" s="23"/>
      <c r="G788" s="3" t="str">
        <f t="shared" si="25"/>
        <v/>
      </c>
      <c r="H788" s="14"/>
    </row>
    <row r="789" spans="1:8" x14ac:dyDescent="0.2">
      <c r="A789" t="s">
        <v>19</v>
      </c>
      <c r="B789" t="s">
        <v>35</v>
      </c>
      <c r="C789" s="14">
        <v>2009</v>
      </c>
      <c r="D789" t="str">
        <f t="shared" si="24"/>
        <v>yes</v>
      </c>
      <c r="E789">
        <f>COUNTIF($B$8:$B$1006,"Macedonia")</f>
        <v>9</v>
      </c>
      <c r="F789" s="23"/>
      <c r="G789" s="3" t="str">
        <f t="shared" si="25"/>
        <v/>
      </c>
      <c r="H789" s="14"/>
    </row>
    <row r="790" spans="1:8" x14ac:dyDescent="0.2">
      <c r="A790" t="s">
        <v>19</v>
      </c>
      <c r="B790" t="s">
        <v>36</v>
      </c>
      <c r="C790" s="14">
        <v>2009</v>
      </c>
      <c r="D790" t="str">
        <f t="shared" si="24"/>
        <v>yes</v>
      </c>
      <c r="E790">
        <f>COUNTIF($B$8:$B$1006,"Moldova")</f>
        <v>15</v>
      </c>
      <c r="F790" s="23"/>
      <c r="G790" s="3" t="str">
        <f t="shared" si="25"/>
        <v/>
      </c>
      <c r="H790" s="14"/>
    </row>
    <row r="791" spans="1:8" x14ac:dyDescent="0.2">
      <c r="A791" t="s">
        <v>19</v>
      </c>
      <c r="B791" t="s">
        <v>38</v>
      </c>
      <c r="C791" s="14">
        <v>2009</v>
      </c>
      <c r="D791" t="str">
        <f t="shared" si="24"/>
        <v>yes</v>
      </c>
      <c r="E791">
        <f>COUNTIF($B$8:$B$1006,"Poland")</f>
        <v>17</v>
      </c>
      <c r="F791" s="23"/>
      <c r="G791" s="3" t="str">
        <f t="shared" si="25"/>
        <v/>
      </c>
      <c r="H791" s="14"/>
    </row>
    <row r="792" spans="1:8" x14ac:dyDescent="0.2">
      <c r="A792" t="s">
        <v>19</v>
      </c>
      <c r="B792" t="s">
        <v>39</v>
      </c>
      <c r="C792" s="14">
        <v>2009</v>
      </c>
      <c r="D792" t="str">
        <f t="shared" si="24"/>
        <v>yes</v>
      </c>
      <c r="E792">
        <f>COUNTIF($B$8:$B$1006,"Romania")</f>
        <v>14</v>
      </c>
      <c r="F792" s="23"/>
      <c r="G792" s="3" t="str">
        <f t="shared" si="25"/>
        <v/>
      </c>
      <c r="H792" s="14"/>
    </row>
    <row r="793" spans="1:8" x14ac:dyDescent="0.2">
      <c r="A793" t="s">
        <v>19</v>
      </c>
      <c r="B793" t="s">
        <v>40</v>
      </c>
      <c r="C793" s="14">
        <v>2009</v>
      </c>
      <c r="D793" t="str">
        <f t="shared" si="24"/>
        <v>yes</v>
      </c>
      <c r="E793">
        <f>COUNTIF($B$8:$B$1006,"Russian Federation")</f>
        <v>13</v>
      </c>
      <c r="F793" s="23"/>
      <c r="G793" s="3" t="str">
        <f t="shared" si="25"/>
        <v/>
      </c>
      <c r="H793" s="14"/>
    </row>
    <row r="794" spans="1:8" x14ac:dyDescent="0.2">
      <c r="A794" t="s">
        <v>19</v>
      </c>
      <c r="B794" t="s">
        <v>41</v>
      </c>
      <c r="C794" s="14">
        <v>2009</v>
      </c>
      <c r="D794" t="str">
        <f t="shared" si="24"/>
        <v>yes</v>
      </c>
      <c r="E794">
        <f>COUNTIF($B$8:$B$1006,"Serbia")</f>
        <v>8</v>
      </c>
      <c r="F794" s="23"/>
      <c r="G794" s="3" t="str">
        <f t="shared" si="25"/>
        <v/>
      </c>
      <c r="H794" s="14"/>
    </row>
    <row r="795" spans="1:8" x14ac:dyDescent="0.2">
      <c r="A795" t="s">
        <v>19</v>
      </c>
      <c r="B795" t="s">
        <v>42</v>
      </c>
      <c r="C795" s="14">
        <v>2009</v>
      </c>
      <c r="D795" t="str">
        <f t="shared" si="24"/>
        <v>yes</v>
      </c>
      <c r="E795">
        <f>COUNTIF($B$8:$B$1006,"Slovak Republic")</f>
        <v>9</v>
      </c>
      <c r="F795" s="23"/>
      <c r="G795" s="3" t="str">
        <f t="shared" si="25"/>
        <v/>
      </c>
      <c r="H795" s="14"/>
    </row>
    <row r="796" spans="1:8" x14ac:dyDescent="0.2">
      <c r="A796" t="s">
        <v>19</v>
      </c>
      <c r="B796" t="s">
        <v>43</v>
      </c>
      <c r="C796" s="14">
        <v>2009</v>
      </c>
      <c r="D796" t="str">
        <f t="shared" si="24"/>
        <v>yes</v>
      </c>
      <c r="E796">
        <f>COUNTIF($B$8:$B$1006,"Tajikistan")</f>
        <v>5</v>
      </c>
      <c r="F796" s="23"/>
      <c r="G796" s="3" t="str">
        <f t="shared" si="25"/>
        <v/>
      </c>
      <c r="H796" s="14"/>
    </row>
    <row r="797" spans="1:8" x14ac:dyDescent="0.2">
      <c r="A797" t="s">
        <v>19</v>
      </c>
      <c r="B797" t="s">
        <v>47</v>
      </c>
      <c r="C797" s="14">
        <v>2009</v>
      </c>
      <c r="D797" t="str">
        <f t="shared" si="24"/>
        <v>yes</v>
      </c>
      <c r="E797">
        <f>COUNTIF($B$8:$B$1006,"Ukraine")</f>
        <v>13</v>
      </c>
      <c r="F797" s="23"/>
      <c r="G797" s="3" t="str">
        <f t="shared" si="25"/>
        <v/>
      </c>
      <c r="H797" s="14"/>
    </row>
    <row r="798" spans="1:8" x14ac:dyDescent="0.2">
      <c r="A798" t="s">
        <v>49</v>
      </c>
      <c r="B798" t="s">
        <v>48</v>
      </c>
      <c r="C798" s="14">
        <v>2009</v>
      </c>
      <c r="D798" t="str">
        <f t="shared" si="24"/>
        <v>yes</v>
      </c>
      <c r="E798">
        <f>COUNTIF($B$8:$B$1006,"Argentina")</f>
        <v>22</v>
      </c>
      <c r="F798" s="23"/>
      <c r="G798" s="3" t="str">
        <f t="shared" si="25"/>
        <v/>
      </c>
      <c r="H798" s="14"/>
    </row>
    <row r="799" spans="1:8" x14ac:dyDescent="0.2">
      <c r="A799" t="s">
        <v>49</v>
      </c>
      <c r="B799" t="s">
        <v>52</v>
      </c>
      <c r="C799" s="14">
        <v>2009</v>
      </c>
      <c r="D799" t="str">
        <f t="shared" si="24"/>
        <v>yes</v>
      </c>
      <c r="E799">
        <f>COUNTIF($B$8:$B$1006,"Brazil")</f>
        <v>26</v>
      </c>
      <c r="F799" s="23"/>
      <c r="G799" s="3" t="str">
        <f t="shared" si="25"/>
        <v/>
      </c>
      <c r="H799" s="14"/>
    </row>
    <row r="800" spans="1:8" x14ac:dyDescent="0.2">
      <c r="A800" t="s">
        <v>49</v>
      </c>
      <c r="B800" t="s">
        <v>53</v>
      </c>
      <c r="C800" s="14">
        <v>2009</v>
      </c>
      <c r="D800" t="str">
        <f t="shared" si="24"/>
        <v>yes</v>
      </c>
      <c r="E800">
        <f>COUNTIF($B$8:$B$1006,"Chile")</f>
        <v>10</v>
      </c>
      <c r="F800" s="23"/>
      <c r="G800" s="3" t="str">
        <f t="shared" si="25"/>
        <v/>
      </c>
      <c r="H800" s="14"/>
    </row>
    <row r="801" spans="1:8" x14ac:dyDescent="0.2">
      <c r="A801" t="s">
        <v>49</v>
      </c>
      <c r="B801" t="s">
        <v>54</v>
      </c>
      <c r="C801" s="14">
        <v>2009</v>
      </c>
      <c r="D801" t="str">
        <f t="shared" si="24"/>
        <v>yes</v>
      </c>
      <c r="E801">
        <f>COUNTIF($B$8:$B$1006,"Colombia")</f>
        <v>18</v>
      </c>
      <c r="F801" s="23"/>
      <c r="G801" s="3" t="str">
        <f t="shared" si="25"/>
        <v/>
      </c>
      <c r="H801" s="14"/>
    </row>
    <row r="802" spans="1:8" x14ac:dyDescent="0.2">
      <c r="A802" t="s">
        <v>49</v>
      </c>
      <c r="B802" t="s">
        <v>55</v>
      </c>
      <c r="C802" s="14">
        <v>2009</v>
      </c>
      <c r="D802" t="str">
        <f t="shared" si="24"/>
        <v>yes</v>
      </c>
      <c r="E802">
        <f>COUNTIF($B$8:$B$1006,"Costa Rica")</f>
        <v>23</v>
      </c>
      <c r="F802" s="23"/>
      <c r="G802" s="3" t="str">
        <f t="shared" si="25"/>
        <v/>
      </c>
      <c r="H802" s="14"/>
    </row>
    <row r="803" spans="1:8" x14ac:dyDescent="0.2">
      <c r="A803" t="s">
        <v>49</v>
      </c>
      <c r="B803" t="s">
        <v>56</v>
      </c>
      <c r="C803" s="14">
        <v>2009</v>
      </c>
      <c r="D803" t="str">
        <f t="shared" si="24"/>
        <v>yes</v>
      </c>
      <c r="E803">
        <f>COUNTIF($B$8:$B$1006,"Dominican Republic")</f>
        <v>16</v>
      </c>
      <c r="F803" s="23"/>
      <c r="G803" s="3" t="str">
        <f t="shared" si="25"/>
        <v/>
      </c>
      <c r="H803" s="14"/>
    </row>
    <row r="804" spans="1:8" x14ac:dyDescent="0.2">
      <c r="A804" t="s">
        <v>49</v>
      </c>
      <c r="B804" t="s">
        <v>57</v>
      </c>
      <c r="C804" s="14">
        <v>2009</v>
      </c>
      <c r="D804" t="str">
        <f t="shared" si="24"/>
        <v>yes</v>
      </c>
      <c r="E804">
        <f>COUNTIF($B$8:$B$1006,"Ecuador")</f>
        <v>13</v>
      </c>
      <c r="F804" s="23"/>
      <c r="G804" s="3" t="str">
        <f t="shared" si="25"/>
        <v/>
      </c>
      <c r="H804" s="14"/>
    </row>
    <row r="805" spans="1:8" x14ac:dyDescent="0.2">
      <c r="A805" t="s">
        <v>49</v>
      </c>
      <c r="B805" t="s">
        <v>58</v>
      </c>
      <c r="C805" s="14">
        <v>2009</v>
      </c>
      <c r="D805" t="str">
        <f t="shared" si="24"/>
        <v>yes</v>
      </c>
      <c r="E805">
        <f>COUNTIF($B$8:$B$1006,"El Salvador")</f>
        <v>15</v>
      </c>
      <c r="F805" s="23"/>
      <c r="G805" s="3" t="str">
        <f t="shared" si="25"/>
        <v/>
      </c>
      <c r="H805" s="14"/>
    </row>
    <row r="806" spans="1:8" x14ac:dyDescent="0.2">
      <c r="A806" t="s">
        <v>49</v>
      </c>
      <c r="B806" t="s">
        <v>62</v>
      </c>
      <c r="C806" s="14">
        <v>2009</v>
      </c>
      <c r="D806" t="str">
        <f t="shared" si="24"/>
        <v>yes</v>
      </c>
      <c r="E806">
        <f>COUNTIF($B$8:$B$1006,"Honduras")</f>
        <v>21</v>
      </c>
      <c r="F806" s="23"/>
      <c r="G806" s="3" t="str">
        <f t="shared" si="25"/>
        <v/>
      </c>
      <c r="H806" s="14"/>
    </row>
    <row r="807" spans="1:8" x14ac:dyDescent="0.2">
      <c r="A807" t="s">
        <v>49</v>
      </c>
      <c r="B807" t="s">
        <v>66</v>
      </c>
      <c r="C807" s="14">
        <v>2009</v>
      </c>
      <c r="D807" t="str">
        <f t="shared" si="24"/>
        <v>yes</v>
      </c>
      <c r="E807">
        <f>COUNTIF($B$8:$B$1006,"Panama")</f>
        <v>13</v>
      </c>
      <c r="F807" s="23"/>
      <c r="G807" s="3" t="str">
        <f t="shared" si="25"/>
        <v/>
      </c>
      <c r="H807" s="14"/>
    </row>
    <row r="808" spans="1:8" x14ac:dyDescent="0.2">
      <c r="A808" t="s">
        <v>49</v>
      </c>
      <c r="B808" t="s">
        <v>67</v>
      </c>
      <c r="C808" s="14">
        <v>2009</v>
      </c>
      <c r="D808" t="str">
        <f t="shared" si="24"/>
        <v>yes</v>
      </c>
      <c r="E808">
        <f>COUNTIF($B$8:$B$1006,"Paraguay")</f>
        <v>14</v>
      </c>
      <c r="F808" s="23"/>
      <c r="G808" s="3" t="str">
        <f t="shared" si="25"/>
        <v/>
      </c>
      <c r="H808" s="14"/>
    </row>
    <row r="809" spans="1:8" x14ac:dyDescent="0.2">
      <c r="A809" t="s">
        <v>49</v>
      </c>
      <c r="B809" t="s">
        <v>68</v>
      </c>
      <c r="C809" s="14">
        <v>2009</v>
      </c>
      <c r="D809" t="str">
        <f t="shared" si="24"/>
        <v>yes</v>
      </c>
      <c r="E809">
        <f>COUNTIF($B$8:$B$1006,"Peru")</f>
        <v>16</v>
      </c>
      <c r="F809" s="23"/>
      <c r="G809" s="3" t="str">
        <f t="shared" si="25"/>
        <v/>
      </c>
      <c r="H809" s="14"/>
    </row>
    <row r="810" spans="1:8" x14ac:dyDescent="0.2">
      <c r="A810" t="s">
        <v>49</v>
      </c>
      <c r="B810" t="s">
        <v>72</v>
      </c>
      <c r="C810" s="14">
        <v>2009</v>
      </c>
      <c r="D810" t="str">
        <f t="shared" si="24"/>
        <v>yes</v>
      </c>
      <c r="E810">
        <f>COUNTIF($B$8:$B$1006,"Uruguay")</f>
        <v>18</v>
      </c>
      <c r="F810" s="23"/>
      <c r="G810" s="3" t="str">
        <f t="shared" si="25"/>
        <v/>
      </c>
      <c r="H810" s="14"/>
    </row>
    <row r="811" spans="1:8" x14ac:dyDescent="0.2">
      <c r="A811" t="s">
        <v>74</v>
      </c>
      <c r="B811" t="s">
        <v>84</v>
      </c>
      <c r="C811" s="14">
        <v>2009</v>
      </c>
      <c r="D811" t="str">
        <f t="shared" si="24"/>
        <v>yes</v>
      </c>
      <c r="E811">
        <f>COUNTIF($B$8:$B$1006,"West Bank and Gaza")</f>
        <v>2</v>
      </c>
      <c r="F811" s="23"/>
      <c r="G811" s="3" t="str">
        <f t="shared" si="25"/>
        <v/>
      </c>
      <c r="H811" s="14"/>
    </row>
    <row r="812" spans="1:8" x14ac:dyDescent="0.2">
      <c r="A812" t="s">
        <v>95</v>
      </c>
      <c r="B812" t="s">
        <v>98</v>
      </c>
      <c r="C812" s="14">
        <v>2009</v>
      </c>
      <c r="D812" t="str">
        <f t="shared" si="24"/>
        <v>yes</v>
      </c>
      <c r="E812">
        <f>COUNTIF($B$8:$B$1006,"Burkina Faso")</f>
        <v>4</v>
      </c>
      <c r="F812" s="23"/>
      <c r="G812" s="3" t="str">
        <f t="shared" si="25"/>
        <v/>
      </c>
      <c r="H812" s="14"/>
    </row>
    <row r="813" spans="1:8" x14ac:dyDescent="0.2">
      <c r="A813" t="s">
        <v>95</v>
      </c>
      <c r="B813" t="s">
        <v>130</v>
      </c>
      <c r="C813" s="14">
        <v>2009</v>
      </c>
      <c r="D813" t="str">
        <f t="shared" si="24"/>
        <v>yes</v>
      </c>
      <c r="E813">
        <f>COUNTIF($B$8:$B$1006,"South Africa")</f>
        <v>5</v>
      </c>
      <c r="F813" s="23"/>
      <c r="G813" s="3" t="str">
        <f t="shared" si="25"/>
        <v/>
      </c>
      <c r="H813" s="14"/>
    </row>
    <row r="814" spans="1:8" x14ac:dyDescent="0.2">
      <c r="A814" t="s">
        <v>95</v>
      </c>
      <c r="B814" t="s">
        <v>131</v>
      </c>
      <c r="C814" s="14">
        <v>2009</v>
      </c>
      <c r="D814" t="str">
        <f t="shared" si="24"/>
        <v>yes</v>
      </c>
      <c r="E814">
        <f>COUNTIF($B$8:$B$1006,"Sudan")</f>
        <v>1</v>
      </c>
      <c r="F814" s="23"/>
      <c r="G814" s="3">
        <f t="shared" si="25"/>
        <v>1</v>
      </c>
      <c r="H814" s="14" t="s">
        <v>131</v>
      </c>
    </row>
    <row r="815" spans="1:8" x14ac:dyDescent="0.2">
      <c r="A815" t="s">
        <v>95</v>
      </c>
      <c r="B815" t="s">
        <v>135</v>
      </c>
      <c r="C815" s="14">
        <v>2009</v>
      </c>
      <c r="D815" t="str">
        <f t="shared" si="24"/>
        <v>yes</v>
      </c>
      <c r="E815">
        <f>COUNTIF($B$8:$B$1006,"Uganda")</f>
        <v>7</v>
      </c>
      <c r="F815" s="23"/>
      <c r="G815" s="3" t="str">
        <f t="shared" si="25"/>
        <v/>
      </c>
    </row>
    <row r="816" spans="1:8" x14ac:dyDescent="0.2">
      <c r="A816" t="s">
        <v>4</v>
      </c>
      <c r="B816" t="s">
        <v>10</v>
      </c>
      <c r="C816" s="14">
        <v>2010</v>
      </c>
      <c r="D816" t="str">
        <f t="shared" si="24"/>
        <v>yes</v>
      </c>
      <c r="E816">
        <f>COUNTIF($B$8:$B$1006,"Indonesia")</f>
        <v>14</v>
      </c>
      <c r="F816" s="23"/>
      <c r="G816" s="3" t="str">
        <f t="shared" si="25"/>
        <v/>
      </c>
    </row>
    <row r="817" spans="1:7" x14ac:dyDescent="0.2">
      <c r="A817" t="s">
        <v>19</v>
      </c>
      <c r="B817" t="s">
        <v>36</v>
      </c>
      <c r="C817" s="14">
        <v>2010</v>
      </c>
      <c r="D817" t="str">
        <f t="shared" si="24"/>
        <v>yes</v>
      </c>
      <c r="E817">
        <f>COUNTIF($B$8:$B$1006,"Moldova")</f>
        <v>15</v>
      </c>
      <c r="F817" s="23"/>
      <c r="G817" s="3" t="str">
        <f t="shared" si="25"/>
        <v/>
      </c>
    </row>
    <row r="818" spans="1:7" x14ac:dyDescent="0.2">
      <c r="A818" t="s">
        <v>49</v>
      </c>
      <c r="B818" t="s">
        <v>48</v>
      </c>
      <c r="C818" s="14">
        <v>2010</v>
      </c>
      <c r="D818" t="str">
        <f t="shared" si="24"/>
        <v>yes</v>
      </c>
      <c r="E818">
        <f>COUNTIF($B$8:$B$1006,"Argentina")</f>
        <v>22</v>
      </c>
      <c r="F818" s="23"/>
      <c r="G818" s="3" t="str">
        <f t="shared" si="25"/>
        <v/>
      </c>
    </row>
    <row r="819" spans="1:7" x14ac:dyDescent="0.2">
      <c r="A819" t="s">
        <v>49</v>
      </c>
      <c r="B819" t="s">
        <v>54</v>
      </c>
      <c r="C819" s="14">
        <v>2010</v>
      </c>
      <c r="D819" t="str">
        <f t="shared" si="24"/>
        <v>yes</v>
      </c>
      <c r="E819">
        <f>COUNTIF($B$8:$B$1006,"Colombia")</f>
        <v>18</v>
      </c>
      <c r="F819" s="23"/>
      <c r="G819" s="3" t="str">
        <f t="shared" si="25"/>
        <v/>
      </c>
    </row>
    <row r="820" spans="1:7" x14ac:dyDescent="0.2">
      <c r="A820" t="s">
        <v>49</v>
      </c>
      <c r="B820" t="s">
        <v>56</v>
      </c>
      <c r="C820" s="14">
        <v>2010</v>
      </c>
      <c r="D820" t="str">
        <f t="shared" si="24"/>
        <v>yes</v>
      </c>
      <c r="E820">
        <f>COUNTIF($B$8:$B$1006,"Dominican Republic")</f>
        <v>16</v>
      </c>
      <c r="F820" s="23"/>
      <c r="G820" s="3" t="str">
        <f t="shared" si="25"/>
        <v/>
      </c>
    </row>
    <row r="821" spans="1:7" x14ac:dyDescent="0.2">
      <c r="A821" t="s">
        <v>49</v>
      </c>
      <c r="B821" t="s">
        <v>57</v>
      </c>
      <c r="C821" s="14">
        <v>2010</v>
      </c>
      <c r="D821" t="str">
        <f t="shared" si="24"/>
        <v>yes</v>
      </c>
      <c r="E821">
        <f>COUNTIF($B$8:$B$1006,"Ecuador")</f>
        <v>13</v>
      </c>
      <c r="F821" s="23"/>
      <c r="G821" s="3" t="str">
        <f t="shared" si="25"/>
        <v/>
      </c>
    </row>
    <row r="822" spans="1:7" x14ac:dyDescent="0.2">
      <c r="A822" t="s">
        <v>49</v>
      </c>
      <c r="B822" t="s">
        <v>64</v>
      </c>
      <c r="C822" s="14">
        <v>2010</v>
      </c>
      <c r="D822" t="str">
        <f t="shared" si="24"/>
        <v>yes</v>
      </c>
      <c r="E822">
        <f>COUNTIF($B$8:$B$1006,"Mexico")</f>
        <v>13</v>
      </c>
      <c r="F822" s="23"/>
      <c r="G822" s="3" t="str">
        <f t="shared" si="25"/>
        <v/>
      </c>
    </row>
    <row r="823" spans="1:7" x14ac:dyDescent="0.2">
      <c r="A823" t="s">
        <v>49</v>
      </c>
      <c r="B823" t="s">
        <v>66</v>
      </c>
      <c r="C823" s="14">
        <v>2010</v>
      </c>
      <c r="D823" t="str">
        <f t="shared" si="24"/>
        <v>yes</v>
      </c>
      <c r="E823">
        <f>COUNTIF($B$8:$B$1006,"Panama")</f>
        <v>13</v>
      </c>
      <c r="F823" s="23"/>
      <c r="G823" s="3" t="str">
        <f t="shared" si="25"/>
        <v/>
      </c>
    </row>
    <row r="824" spans="1:7" x14ac:dyDescent="0.2">
      <c r="A824" t="s">
        <v>49</v>
      </c>
      <c r="B824" t="s">
        <v>67</v>
      </c>
      <c r="C824" s="14">
        <v>2010</v>
      </c>
      <c r="D824" t="str">
        <f t="shared" si="24"/>
        <v>yes</v>
      </c>
      <c r="E824">
        <f>COUNTIF($B$8:$B$1006,"Paraguay")</f>
        <v>14</v>
      </c>
      <c r="F824" s="23"/>
      <c r="G824" s="3" t="str">
        <f t="shared" si="25"/>
        <v/>
      </c>
    </row>
    <row r="825" spans="1:7" x14ac:dyDescent="0.2">
      <c r="A825" t="s">
        <v>49</v>
      </c>
      <c r="B825" t="s">
        <v>68</v>
      </c>
      <c r="C825" s="14">
        <v>2010</v>
      </c>
      <c r="D825" t="str">
        <f t="shared" si="24"/>
        <v>yes</v>
      </c>
      <c r="E825">
        <f>COUNTIF($B$8:$B$1006,"Peru")</f>
        <v>16</v>
      </c>
      <c r="F825" s="23"/>
      <c r="G825" s="3" t="str">
        <f t="shared" si="25"/>
        <v/>
      </c>
    </row>
    <row r="826" spans="1:7" x14ac:dyDescent="0.2">
      <c r="A826" t="s">
        <v>49</v>
      </c>
      <c r="B826" t="s">
        <v>72</v>
      </c>
      <c r="C826" s="14">
        <v>2010</v>
      </c>
      <c r="D826" t="str">
        <f t="shared" si="24"/>
        <v>yes</v>
      </c>
      <c r="E826">
        <f>COUNTIF($B$8:$B$1006,"Uruguay")</f>
        <v>18</v>
      </c>
      <c r="F826" s="23"/>
      <c r="G826" s="3" t="str">
        <f t="shared" si="25"/>
        <v/>
      </c>
    </row>
    <row r="827" spans="1:7" x14ac:dyDescent="0.2">
      <c r="A827" t="s">
        <v>74</v>
      </c>
      <c r="B827" t="s">
        <v>80</v>
      </c>
      <c r="C827" s="14">
        <v>2010</v>
      </c>
      <c r="D827" t="str">
        <f t="shared" si="24"/>
        <v>yes</v>
      </c>
      <c r="E827">
        <f>COUNTIF($B$8:$B$1006,"Jordan")</f>
        <v>7</v>
      </c>
      <c r="F827" s="23"/>
      <c r="G827" s="3" t="str">
        <f t="shared" si="25"/>
        <v/>
      </c>
    </row>
    <row r="828" spans="1:7" x14ac:dyDescent="0.2">
      <c r="A828" t="s">
        <v>87</v>
      </c>
      <c r="B828" t="s">
        <v>86</v>
      </c>
      <c r="C828" s="14">
        <v>2010</v>
      </c>
      <c r="D828" t="str">
        <f t="shared" si="24"/>
        <v>yes</v>
      </c>
      <c r="E828">
        <f>COUNTIF($B$8:$B$1006,"Bangladesh")</f>
        <v>8</v>
      </c>
      <c r="F828" s="23"/>
      <c r="G828" s="3" t="str">
        <f t="shared" si="25"/>
        <v/>
      </c>
    </row>
    <row r="829" spans="1:7" x14ac:dyDescent="0.2">
      <c r="A829" t="s">
        <v>87</v>
      </c>
      <c r="B829" t="s">
        <v>89</v>
      </c>
      <c r="C829" s="14">
        <v>2010</v>
      </c>
      <c r="D829" t="str">
        <f t="shared" si="24"/>
        <v>yes</v>
      </c>
      <c r="E829">
        <f>COUNTIF($B$8:$B$1006,"India")</f>
        <v>5</v>
      </c>
      <c r="F829" s="23"/>
      <c r="G829" s="3" t="str">
        <f t="shared" si="25"/>
        <v/>
      </c>
    </row>
    <row r="830" spans="1:7" x14ac:dyDescent="0.2">
      <c r="A830" t="s">
        <v>87</v>
      </c>
      <c r="B830" t="s">
        <v>91</v>
      </c>
      <c r="C830" s="14">
        <v>2010</v>
      </c>
      <c r="D830" t="str">
        <f t="shared" si="24"/>
        <v>yes</v>
      </c>
      <c r="E830">
        <f>COUNTIF($B$8:$B$1006,"Nepal")</f>
        <v>4</v>
      </c>
      <c r="F830" s="23"/>
      <c r="G830" s="3" t="str">
        <f t="shared" si="25"/>
        <v/>
      </c>
    </row>
    <row r="831" spans="1:7" x14ac:dyDescent="0.2">
      <c r="A831" t="s">
        <v>95</v>
      </c>
      <c r="B831" t="s">
        <v>117</v>
      </c>
      <c r="C831" s="14">
        <v>2010</v>
      </c>
      <c r="D831" t="str">
        <f t="shared" si="24"/>
        <v>yes</v>
      </c>
      <c r="E831">
        <f>COUNTIF($B$8:$B$1006,"Madagascar")</f>
        <v>7</v>
      </c>
      <c r="F831" s="23"/>
      <c r="G831" s="3" t="str">
        <f t="shared" si="25"/>
        <v/>
      </c>
    </row>
    <row r="832" spans="1:7" x14ac:dyDescent="0.2">
      <c r="A832" t="s">
        <v>95</v>
      </c>
      <c r="B832" t="s">
        <v>119</v>
      </c>
      <c r="C832" s="14">
        <v>2010</v>
      </c>
      <c r="D832" t="str">
        <f t="shared" si="24"/>
        <v>yes</v>
      </c>
      <c r="E832">
        <f>COUNTIF($B$8:$B$1006,"Mali")</f>
        <v>4</v>
      </c>
      <c r="F832" s="23"/>
      <c r="G832" s="3" t="str">
        <f t="shared" si="25"/>
        <v/>
      </c>
    </row>
    <row r="833" spans="1:7" x14ac:dyDescent="0.2">
      <c r="A833" t="s">
        <v>95</v>
      </c>
      <c r="B833" t="s">
        <v>124</v>
      </c>
      <c r="C833" s="14">
        <v>2010</v>
      </c>
      <c r="D833" t="str">
        <f t="shared" si="24"/>
        <v>yes</v>
      </c>
      <c r="E833">
        <f>COUNTIF($B$8:$B$1006,"Nigeria")</f>
        <v>5</v>
      </c>
      <c r="F833" s="23"/>
      <c r="G833" s="3" t="str">
        <f t="shared" si="25"/>
        <v/>
      </c>
    </row>
    <row r="834" spans="1:7" x14ac:dyDescent="0.2">
      <c r="A834" t="s">
        <v>95</v>
      </c>
      <c r="B834" t="s">
        <v>132</v>
      </c>
      <c r="C834" s="14">
        <v>2010</v>
      </c>
      <c r="D834" t="str">
        <f t="shared" si="24"/>
        <v>yes</v>
      </c>
      <c r="E834">
        <f>COUNTIF($B$8:$B$1006,"Swaziland")</f>
        <v>3</v>
      </c>
      <c r="F834" s="23"/>
      <c r="G834" s="3" t="str">
        <f t="shared" si="25"/>
        <v/>
      </c>
    </row>
    <row r="835" spans="1:7" x14ac:dyDescent="0.2">
      <c r="F835" s="23"/>
      <c r="G835" s="18">
        <f>SUM(G8:G834)</f>
        <v>141</v>
      </c>
    </row>
    <row r="836" spans="1:7" x14ac:dyDescent="0.2">
      <c r="F836" s="23"/>
    </row>
    <row r="837" spans="1:7" x14ac:dyDescent="0.2">
      <c r="F837" s="23"/>
    </row>
    <row r="838" spans="1:7" x14ac:dyDescent="0.2">
      <c r="F838" s="23"/>
    </row>
    <row r="839" spans="1:7" x14ac:dyDescent="0.2">
      <c r="F839" s="23"/>
    </row>
    <row r="840" spans="1:7" x14ac:dyDescent="0.2">
      <c r="F840" s="23"/>
    </row>
    <row r="841" spans="1:7" x14ac:dyDescent="0.2">
      <c r="F841" s="23"/>
    </row>
    <row r="842" spans="1:7" x14ac:dyDescent="0.2">
      <c r="F842" s="23"/>
    </row>
    <row r="843" spans="1:7" x14ac:dyDescent="0.2">
      <c r="F843" s="23"/>
    </row>
    <row r="844" spans="1:7" x14ac:dyDescent="0.2">
      <c r="F844" s="23"/>
    </row>
    <row r="845" spans="1:7" x14ac:dyDescent="0.2">
      <c r="F845" s="23"/>
    </row>
    <row r="846" spans="1:7" x14ac:dyDescent="0.2">
      <c r="F846" s="23"/>
    </row>
    <row r="847" spans="1:7" x14ac:dyDescent="0.2">
      <c r="F847" s="23"/>
    </row>
    <row r="848" spans="1:7" x14ac:dyDescent="0.2">
      <c r="F848" s="23"/>
    </row>
    <row r="849" spans="6:6" x14ac:dyDescent="0.2">
      <c r="F849" s="23"/>
    </row>
    <row r="850" spans="6:6" x14ac:dyDescent="0.2">
      <c r="F850" s="23"/>
    </row>
    <row r="851" spans="6:6" x14ac:dyDescent="0.2">
      <c r="F851" s="23"/>
    </row>
    <row r="852" spans="6:6" x14ac:dyDescent="0.2">
      <c r="F852" s="23"/>
    </row>
    <row r="853" spans="6:6" x14ac:dyDescent="0.2">
      <c r="F853" s="23"/>
    </row>
    <row r="854" spans="6:6" x14ac:dyDescent="0.2">
      <c r="F854" s="23"/>
    </row>
    <row r="855" spans="6:6" x14ac:dyDescent="0.2">
      <c r="F855" s="23"/>
    </row>
    <row r="856" spans="6:6" x14ac:dyDescent="0.2">
      <c r="F856" s="23"/>
    </row>
    <row r="857" spans="6:6" x14ac:dyDescent="0.2">
      <c r="F857" s="23"/>
    </row>
    <row r="858" spans="6:6" x14ac:dyDescent="0.2">
      <c r="F858" s="23"/>
    </row>
    <row r="859" spans="6:6" x14ac:dyDescent="0.2">
      <c r="F859" s="23"/>
    </row>
    <row r="860" spans="6:6" x14ac:dyDescent="0.2">
      <c r="F860" s="23"/>
    </row>
    <row r="861" spans="6:6" x14ac:dyDescent="0.2">
      <c r="F861" s="23"/>
    </row>
    <row r="862" spans="6:6" x14ac:dyDescent="0.2">
      <c r="F862" s="23"/>
    </row>
    <row r="863" spans="6:6" x14ac:dyDescent="0.2">
      <c r="F863" s="23"/>
    </row>
    <row r="864" spans="6:6" x14ac:dyDescent="0.2">
      <c r="F864" s="23"/>
    </row>
    <row r="865" spans="6:6" x14ac:dyDescent="0.2">
      <c r="F865" s="23"/>
    </row>
    <row r="866" spans="6:6" x14ac:dyDescent="0.2">
      <c r="F866" s="23"/>
    </row>
    <row r="867" spans="6:6" x14ac:dyDescent="0.2">
      <c r="F867" s="23"/>
    </row>
    <row r="868" spans="6:6" x14ac:dyDescent="0.2">
      <c r="F868" s="23"/>
    </row>
    <row r="869" spans="6:6" x14ac:dyDescent="0.2">
      <c r="F869" s="23"/>
    </row>
    <row r="870" spans="6:6" x14ac:dyDescent="0.2">
      <c r="F870" s="23"/>
    </row>
    <row r="871" spans="6:6" x14ac:dyDescent="0.2">
      <c r="F871" s="23"/>
    </row>
    <row r="872" spans="6:6" x14ac:dyDescent="0.2">
      <c r="F872" s="23"/>
    </row>
    <row r="873" spans="6:6" x14ac:dyDescent="0.2">
      <c r="F873" s="23"/>
    </row>
    <row r="874" spans="6:6" x14ac:dyDescent="0.2">
      <c r="F874" s="23"/>
    </row>
    <row r="875" spans="6:6" x14ac:dyDescent="0.2">
      <c r="F875" s="23"/>
    </row>
    <row r="876" spans="6:6" x14ac:dyDescent="0.2">
      <c r="F876" s="23"/>
    </row>
    <row r="877" spans="6:6" x14ac:dyDescent="0.2">
      <c r="F877" s="23"/>
    </row>
    <row r="878" spans="6:6" x14ac:dyDescent="0.2">
      <c r="F878" s="23"/>
    </row>
    <row r="879" spans="6:6" x14ac:dyDescent="0.2">
      <c r="F879" s="23"/>
    </row>
    <row r="880" spans="6:6" x14ac:dyDescent="0.2">
      <c r="F880" s="23"/>
    </row>
    <row r="881" spans="6:6" x14ac:dyDescent="0.2">
      <c r="F881" s="23"/>
    </row>
    <row r="882" spans="6:6" x14ac:dyDescent="0.2">
      <c r="F882" s="23"/>
    </row>
    <row r="883" spans="6:6" x14ac:dyDescent="0.2">
      <c r="F883" s="23"/>
    </row>
    <row r="884" spans="6:6" x14ac:dyDescent="0.2">
      <c r="F884" s="23"/>
    </row>
    <row r="885" spans="6:6" x14ac:dyDescent="0.2">
      <c r="F885" s="23"/>
    </row>
    <row r="886" spans="6:6" x14ac:dyDescent="0.2">
      <c r="F886" s="23"/>
    </row>
    <row r="887" spans="6:6" x14ac:dyDescent="0.2">
      <c r="F887" s="23"/>
    </row>
    <row r="888" spans="6:6" x14ac:dyDescent="0.2">
      <c r="F888" s="23"/>
    </row>
    <row r="889" spans="6:6" x14ac:dyDescent="0.2">
      <c r="F889" s="23"/>
    </row>
    <row r="890" spans="6:6" x14ac:dyDescent="0.2">
      <c r="F890" s="23"/>
    </row>
    <row r="891" spans="6:6" x14ac:dyDescent="0.2">
      <c r="F891" s="23"/>
    </row>
    <row r="892" spans="6:6" x14ac:dyDescent="0.2">
      <c r="F892" s="23"/>
    </row>
    <row r="893" spans="6:6" x14ac:dyDescent="0.2">
      <c r="F893" s="23"/>
    </row>
    <row r="894" spans="6:6" x14ac:dyDescent="0.2">
      <c r="F894" s="23"/>
    </row>
    <row r="895" spans="6:6" x14ac:dyDescent="0.2">
      <c r="F895" s="23"/>
    </row>
    <row r="896" spans="6:6" x14ac:dyDescent="0.2">
      <c r="F896" s="23"/>
    </row>
    <row r="897" spans="6:6" x14ac:dyDescent="0.2">
      <c r="F897" s="23"/>
    </row>
    <row r="898" spans="6:6" x14ac:dyDescent="0.2">
      <c r="F898" s="23"/>
    </row>
    <row r="899" spans="6:6" x14ac:dyDescent="0.2">
      <c r="F899" s="23"/>
    </row>
    <row r="900" spans="6:6" x14ac:dyDescent="0.2">
      <c r="F900" s="23"/>
    </row>
    <row r="901" spans="6:6" x14ac:dyDescent="0.2">
      <c r="F901" s="23"/>
    </row>
    <row r="902" spans="6:6" x14ac:dyDescent="0.2">
      <c r="F902" s="23"/>
    </row>
    <row r="903" spans="6:6" x14ac:dyDescent="0.2">
      <c r="F903" s="23"/>
    </row>
    <row r="904" spans="6:6" x14ac:dyDescent="0.2">
      <c r="F904" s="23"/>
    </row>
    <row r="905" spans="6:6" x14ac:dyDescent="0.2">
      <c r="F905" s="23"/>
    </row>
    <row r="906" spans="6:6" x14ac:dyDescent="0.2">
      <c r="F906" s="23"/>
    </row>
    <row r="907" spans="6:6" x14ac:dyDescent="0.2">
      <c r="F907" s="23"/>
    </row>
    <row r="908" spans="6:6" x14ac:dyDescent="0.2">
      <c r="F908" s="23"/>
    </row>
    <row r="909" spans="6:6" x14ac:dyDescent="0.2">
      <c r="F909" s="23"/>
    </row>
    <row r="910" spans="6:6" x14ac:dyDescent="0.2">
      <c r="F910" s="23"/>
    </row>
    <row r="911" spans="6:6" x14ac:dyDescent="0.2">
      <c r="F911" s="23"/>
    </row>
    <row r="912" spans="6:6" x14ac:dyDescent="0.2">
      <c r="F912" s="23"/>
    </row>
    <row r="913" spans="6:6" x14ac:dyDescent="0.2">
      <c r="F913" s="23"/>
    </row>
    <row r="914" spans="6:6" x14ac:dyDescent="0.2">
      <c r="F914" s="23"/>
    </row>
    <row r="915" spans="6:6" x14ac:dyDescent="0.2">
      <c r="F915" s="23"/>
    </row>
    <row r="916" spans="6:6" x14ac:dyDescent="0.2">
      <c r="F916" s="23"/>
    </row>
    <row r="917" spans="6:6" x14ac:dyDescent="0.2">
      <c r="F917" s="23"/>
    </row>
    <row r="918" spans="6:6" x14ac:dyDescent="0.2">
      <c r="F918" s="23"/>
    </row>
    <row r="919" spans="6:6" x14ac:dyDescent="0.2">
      <c r="F919" s="23"/>
    </row>
    <row r="920" spans="6:6" x14ac:dyDescent="0.2">
      <c r="F920" s="23"/>
    </row>
    <row r="921" spans="6:6" x14ac:dyDescent="0.2">
      <c r="F921" s="23"/>
    </row>
    <row r="922" spans="6:6" x14ac:dyDescent="0.2">
      <c r="F922" s="23"/>
    </row>
    <row r="923" spans="6:6" x14ac:dyDescent="0.2">
      <c r="F923" s="23"/>
    </row>
    <row r="924" spans="6:6" x14ac:dyDescent="0.2">
      <c r="F924" s="23"/>
    </row>
    <row r="925" spans="6:6" x14ac:dyDescent="0.2">
      <c r="F925" s="23"/>
    </row>
    <row r="926" spans="6:6" x14ac:dyDescent="0.2">
      <c r="F926" s="23"/>
    </row>
    <row r="927" spans="6:6" x14ac:dyDescent="0.2">
      <c r="F927" s="23"/>
    </row>
    <row r="928" spans="6:6" x14ac:dyDescent="0.2">
      <c r="F928" s="23"/>
    </row>
    <row r="929" spans="6:6" x14ac:dyDescent="0.2">
      <c r="F929" s="23"/>
    </row>
    <row r="930" spans="6:6" x14ac:dyDescent="0.2">
      <c r="F930" s="23"/>
    </row>
    <row r="931" spans="6:6" x14ac:dyDescent="0.2">
      <c r="F931" s="23"/>
    </row>
    <row r="932" spans="6:6" x14ac:dyDescent="0.2">
      <c r="F932" s="23"/>
    </row>
    <row r="933" spans="6:6" x14ac:dyDescent="0.2">
      <c r="F933" s="23"/>
    </row>
    <row r="934" spans="6:6" x14ac:dyDescent="0.2">
      <c r="F934" s="23"/>
    </row>
    <row r="935" spans="6:6" x14ac:dyDescent="0.2">
      <c r="F935" s="23"/>
    </row>
    <row r="936" spans="6:6" x14ac:dyDescent="0.2">
      <c r="F936" s="23"/>
    </row>
    <row r="937" spans="6:6" x14ac:dyDescent="0.2">
      <c r="F937" s="23"/>
    </row>
    <row r="938" spans="6:6" x14ac:dyDescent="0.2">
      <c r="F938" s="23"/>
    </row>
    <row r="939" spans="6:6" x14ac:dyDescent="0.2">
      <c r="F939" s="23"/>
    </row>
    <row r="940" spans="6:6" x14ac:dyDescent="0.2">
      <c r="F940" s="23"/>
    </row>
    <row r="941" spans="6:6" x14ac:dyDescent="0.2">
      <c r="F941" s="23"/>
    </row>
    <row r="942" spans="6:6" x14ac:dyDescent="0.2">
      <c r="F942" s="23"/>
    </row>
    <row r="943" spans="6:6" x14ac:dyDescent="0.2">
      <c r="F943" s="23"/>
    </row>
    <row r="944" spans="6:6" x14ac:dyDescent="0.2">
      <c r="F944" s="23"/>
    </row>
    <row r="945" spans="6:6" x14ac:dyDescent="0.2">
      <c r="F945" s="23"/>
    </row>
    <row r="946" spans="6:6" x14ac:dyDescent="0.2">
      <c r="F946" s="23"/>
    </row>
    <row r="947" spans="6:6" x14ac:dyDescent="0.2">
      <c r="F947" s="23"/>
    </row>
    <row r="948" spans="6:6" x14ac:dyDescent="0.2">
      <c r="F948" s="23"/>
    </row>
    <row r="949" spans="6:6" x14ac:dyDescent="0.2">
      <c r="F949" s="23"/>
    </row>
    <row r="950" spans="6:6" x14ac:dyDescent="0.2">
      <c r="F950" s="23"/>
    </row>
    <row r="951" spans="6:6" x14ac:dyDescent="0.2">
      <c r="F951" s="23"/>
    </row>
    <row r="952" spans="6:6" x14ac:dyDescent="0.2">
      <c r="F952" s="23"/>
    </row>
    <row r="953" spans="6:6" x14ac:dyDescent="0.2">
      <c r="F953" s="23"/>
    </row>
    <row r="954" spans="6:6" x14ac:dyDescent="0.2">
      <c r="F954" s="23"/>
    </row>
    <row r="955" spans="6:6" x14ac:dyDescent="0.2">
      <c r="F955" s="23"/>
    </row>
    <row r="956" spans="6:6" x14ac:dyDescent="0.2">
      <c r="F956" s="23"/>
    </row>
    <row r="957" spans="6:6" x14ac:dyDescent="0.2">
      <c r="F957" s="23"/>
    </row>
    <row r="958" spans="6:6" x14ac:dyDescent="0.2">
      <c r="F958" s="23"/>
    </row>
    <row r="959" spans="6:6" x14ac:dyDescent="0.2">
      <c r="F959" s="23"/>
    </row>
    <row r="960" spans="6:6" x14ac:dyDescent="0.2">
      <c r="F960" s="23"/>
    </row>
    <row r="961" spans="6:6" x14ac:dyDescent="0.2">
      <c r="F961" s="23"/>
    </row>
    <row r="962" spans="6:6" x14ac:dyDescent="0.2">
      <c r="F962" s="23"/>
    </row>
    <row r="963" spans="6:6" x14ac:dyDescent="0.2">
      <c r="F963" s="23"/>
    </row>
    <row r="964" spans="6:6" x14ac:dyDescent="0.2">
      <c r="F964" s="23"/>
    </row>
    <row r="965" spans="6:6" x14ac:dyDescent="0.2">
      <c r="F965" s="23"/>
    </row>
    <row r="966" spans="6:6" x14ac:dyDescent="0.2">
      <c r="F966" s="23"/>
    </row>
    <row r="967" spans="6:6" x14ac:dyDescent="0.2">
      <c r="F967" s="23"/>
    </row>
    <row r="968" spans="6:6" x14ac:dyDescent="0.2">
      <c r="F968" s="23"/>
    </row>
    <row r="969" spans="6:6" x14ac:dyDescent="0.2">
      <c r="F969" s="23"/>
    </row>
    <row r="970" spans="6:6" x14ac:dyDescent="0.2">
      <c r="F970" s="23"/>
    </row>
    <row r="971" spans="6:6" x14ac:dyDescent="0.2">
      <c r="F971" s="23"/>
    </row>
    <row r="972" spans="6:6" x14ac:dyDescent="0.2">
      <c r="F972" s="23"/>
    </row>
    <row r="973" spans="6:6" x14ac:dyDescent="0.2">
      <c r="F973" s="23"/>
    </row>
    <row r="974" spans="6:6" x14ac:dyDescent="0.2">
      <c r="F974" s="23"/>
    </row>
    <row r="975" spans="6:6" x14ac:dyDescent="0.2">
      <c r="F975" s="23"/>
    </row>
    <row r="976" spans="6:6" x14ac:dyDescent="0.2">
      <c r="F976" s="23"/>
    </row>
    <row r="977" spans="6:6" x14ac:dyDescent="0.2">
      <c r="F977" s="23"/>
    </row>
    <row r="978" spans="6:6" x14ac:dyDescent="0.2">
      <c r="F978" s="23"/>
    </row>
    <row r="979" spans="6:6" x14ac:dyDescent="0.2">
      <c r="F979" s="23"/>
    </row>
    <row r="980" spans="6:6" x14ac:dyDescent="0.2">
      <c r="F980" s="23"/>
    </row>
    <row r="981" spans="6:6" x14ac:dyDescent="0.2">
      <c r="F981" s="23"/>
    </row>
    <row r="982" spans="6:6" x14ac:dyDescent="0.2">
      <c r="F982" s="23"/>
    </row>
    <row r="983" spans="6:6" x14ac:dyDescent="0.2">
      <c r="F983" s="23"/>
    </row>
    <row r="984" spans="6:6" x14ac:dyDescent="0.2">
      <c r="F984" s="23"/>
    </row>
    <row r="985" spans="6:6" x14ac:dyDescent="0.2">
      <c r="F985" s="23"/>
    </row>
    <row r="986" spans="6:6" x14ac:dyDescent="0.2">
      <c r="F986" s="23"/>
    </row>
    <row r="987" spans="6:6" x14ac:dyDescent="0.2">
      <c r="F987" s="23"/>
    </row>
    <row r="988" spans="6:6" x14ac:dyDescent="0.2">
      <c r="F988" s="23"/>
    </row>
    <row r="989" spans="6:6" x14ac:dyDescent="0.2">
      <c r="F989" s="23"/>
    </row>
    <row r="990" spans="6:6" x14ac:dyDescent="0.2">
      <c r="F990" s="23"/>
    </row>
    <row r="991" spans="6:6" x14ac:dyDescent="0.2">
      <c r="F991" s="23"/>
    </row>
    <row r="992" spans="6:6" x14ac:dyDescent="0.2">
      <c r="F992" s="23"/>
    </row>
    <row r="993" spans="6:6" x14ac:dyDescent="0.2">
      <c r="F993" s="23"/>
    </row>
    <row r="994" spans="6:6" x14ac:dyDescent="0.2">
      <c r="F994" s="23"/>
    </row>
    <row r="995" spans="6:6" x14ac:dyDescent="0.2">
      <c r="F995" s="23"/>
    </row>
    <row r="996" spans="6:6" x14ac:dyDescent="0.2">
      <c r="F996" s="23"/>
    </row>
    <row r="997" spans="6:6" x14ac:dyDescent="0.2">
      <c r="F997" s="23"/>
    </row>
    <row r="998" spans="6:6" x14ac:dyDescent="0.2">
      <c r="F998" s="23"/>
    </row>
    <row r="999" spans="6:6" x14ac:dyDescent="0.2">
      <c r="F999" s="23"/>
    </row>
    <row r="1000" spans="6:6" x14ac:dyDescent="0.2">
      <c r="F1000" s="23"/>
    </row>
    <row r="1001" spans="6:6" x14ac:dyDescent="0.2">
      <c r="F1001" s="23"/>
    </row>
    <row r="1002" spans="6:6" x14ac:dyDescent="0.2">
      <c r="F1002" s="23"/>
    </row>
    <row r="1003" spans="6:6" x14ac:dyDescent="0.2">
      <c r="F1003" s="23"/>
    </row>
    <row r="1004" spans="6:6" x14ac:dyDescent="0.2">
      <c r="F1004" s="23"/>
    </row>
    <row r="1005" spans="6:6" x14ac:dyDescent="0.2">
      <c r="F1005" s="23"/>
    </row>
    <row r="1006" spans="6:6" x14ac:dyDescent="0.2">
      <c r="F1006" s="23"/>
    </row>
    <row r="1007" spans="6:6" x14ac:dyDescent="0.2">
      <c r="F1007" s="23"/>
    </row>
    <row r="1008" spans="6:6" x14ac:dyDescent="0.2">
      <c r="F1008" s="23"/>
    </row>
    <row r="1009" spans="6:6" x14ac:dyDescent="0.2">
      <c r="F1009" s="23"/>
    </row>
    <row r="1010" spans="6:6" x14ac:dyDescent="0.2">
      <c r="F1010" s="23"/>
    </row>
    <row r="1011" spans="6:6" x14ac:dyDescent="0.2">
      <c r="F1011" s="23"/>
    </row>
  </sheetData>
  <autoFilter ref="A7:H7">
    <sortState ref="A8:H835">
      <sortCondition ref="C7:C835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C1" workbookViewId="0">
      <selection activeCell="G18" sqref="G18"/>
    </sheetView>
  </sheetViews>
  <sheetFormatPr baseColWidth="10" defaultColWidth="11" defaultRowHeight="16" x14ac:dyDescent="0.2"/>
  <cols>
    <col min="1" max="16384" width="11" style="34"/>
  </cols>
  <sheetData/>
  <pageMargins left="0.75" right="0.75" top="1" bottom="1" header="0.5" footer="0.5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="95" zoomScaleNormal="95" zoomScalePageLayoutView="95" workbookViewId="0">
      <selection activeCell="I9" sqref="I9"/>
    </sheetView>
  </sheetViews>
  <sheetFormatPr baseColWidth="10" defaultColWidth="11" defaultRowHeight="16" x14ac:dyDescent="0.2"/>
  <cols>
    <col min="1" max="1" width="12.6640625" customWidth="1"/>
    <col min="2" max="2" width="16.33203125" customWidth="1"/>
  </cols>
  <sheetData>
    <row r="1" spans="1:5" ht="24" x14ac:dyDescent="0.3">
      <c r="A1" s="4" t="s">
        <v>137</v>
      </c>
      <c r="B1" t="s">
        <v>460</v>
      </c>
      <c r="C1" s="27" t="s">
        <v>303</v>
      </c>
    </row>
    <row r="2" spans="1:5" x14ac:dyDescent="0.2">
      <c r="A2" s="3" t="s">
        <v>138</v>
      </c>
      <c r="B2" t="s">
        <v>151</v>
      </c>
      <c r="C2" s="27" t="s">
        <v>153</v>
      </c>
    </row>
    <row r="3" spans="1:5" x14ac:dyDescent="0.2">
      <c r="A3" s="3"/>
      <c r="B3" t="s">
        <v>244</v>
      </c>
      <c r="C3" s="27" t="s">
        <v>201</v>
      </c>
    </row>
    <row r="4" spans="1:5" x14ac:dyDescent="0.2">
      <c r="A4" s="3"/>
      <c r="B4" t="s">
        <v>281</v>
      </c>
      <c r="C4" s="27" t="s">
        <v>288</v>
      </c>
    </row>
    <row r="5" spans="1:5" x14ac:dyDescent="0.2">
      <c r="A5" s="3"/>
      <c r="B5" t="s">
        <v>304</v>
      </c>
      <c r="C5" s="27" t="s">
        <v>303</v>
      </c>
    </row>
    <row r="6" spans="1:5" x14ac:dyDescent="0.2">
      <c r="A6" s="3"/>
      <c r="B6" t="s">
        <v>380</v>
      </c>
      <c r="C6" s="27" t="s">
        <v>344</v>
      </c>
    </row>
    <row r="7" spans="1:5" x14ac:dyDescent="0.2">
      <c r="A7" s="5" t="s">
        <v>139</v>
      </c>
      <c r="B7" s="6" t="s">
        <v>141</v>
      </c>
    </row>
    <row r="8" spans="1:5" x14ac:dyDescent="0.2">
      <c r="A8" s="7"/>
      <c r="B8" s="8" t="s">
        <v>144</v>
      </c>
    </row>
    <row r="9" spans="1:5" x14ac:dyDescent="0.2">
      <c r="A9" s="9"/>
      <c r="B9" s="19" t="s">
        <v>140</v>
      </c>
    </row>
    <row r="10" spans="1:5" x14ac:dyDescent="0.2">
      <c r="A10" s="3" t="s">
        <v>178</v>
      </c>
      <c r="B10" s="3" t="s">
        <v>463</v>
      </c>
      <c r="C10" s="3"/>
      <c r="D10" s="3"/>
      <c r="E10" s="3"/>
    </row>
    <row r="11" spans="1:5" ht="48" x14ac:dyDescent="0.2">
      <c r="B11" s="15" t="s">
        <v>152</v>
      </c>
      <c r="C11" s="28"/>
    </row>
    <row r="12" spans="1:5" x14ac:dyDescent="0.2">
      <c r="A12" s="30" t="s">
        <v>151</v>
      </c>
      <c r="B12" s="33">
        <f>'MICS Data'!F214</f>
        <v>206</v>
      </c>
      <c r="C12" s="26"/>
    </row>
    <row r="13" spans="1:5" x14ac:dyDescent="0.2">
      <c r="A13" s="30" t="s">
        <v>244</v>
      </c>
      <c r="B13" s="33">
        <f>'LSMS Data'!$E$138</f>
        <v>130</v>
      </c>
    </row>
    <row r="14" spans="1:5" x14ac:dyDescent="0.2">
      <c r="A14" s="30" t="s">
        <v>281</v>
      </c>
      <c r="B14" s="33">
        <f>'DHS Data'!E348</f>
        <v>340</v>
      </c>
    </row>
    <row r="15" spans="1:5" x14ac:dyDescent="0.2">
      <c r="A15" s="30" t="s">
        <v>304</v>
      </c>
      <c r="B15">
        <f>'CWIQ Data'!$E$50</f>
        <v>42</v>
      </c>
    </row>
    <row r="16" spans="1:5" x14ac:dyDescent="0.2">
      <c r="A16" s="30" t="s">
        <v>380</v>
      </c>
      <c r="B16">
        <f>'PAPFAM Data'!F21</f>
        <v>13</v>
      </c>
    </row>
    <row r="17" spans="1:3" x14ac:dyDescent="0.2">
      <c r="A17" s="30" t="s">
        <v>460</v>
      </c>
      <c r="B17">
        <f>'ILCS or IS'!E37</f>
        <v>29</v>
      </c>
    </row>
    <row r="18" spans="1:3" x14ac:dyDescent="0.2">
      <c r="A18" s="1" t="s">
        <v>309</v>
      </c>
      <c r="B18" s="18">
        <f>SUM(B12:B17)+1</f>
        <v>761</v>
      </c>
      <c r="C18" s="71"/>
    </row>
  </sheetData>
  <conditionalFormatting sqref="C6">
    <cfRule type="duplicateValues" dxfId="20" priority="1"/>
    <cfRule type="duplicateValues" dxfId="19" priority="2"/>
  </conditionalFormatting>
  <hyperlinks>
    <hyperlink ref="C3" r:id="rId1"/>
    <hyperlink ref="C2" r:id="rId2"/>
    <hyperlink ref="C4" r:id="rId3" display="http://iresearch.worldbank.org/lsms/lsmssurveyFinder.htm"/>
  </hyperlinks>
  <pageMargins left="0.75" right="0.75" top="1" bottom="1" header="0.5" footer="0.5"/>
  <pageSetup paperSize="9" orientation="portrait" horizontalDpi="4294967292" verticalDpi="4294967292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N42"/>
  <sheetViews>
    <sheetView zoomScale="86" zoomScaleNormal="86" zoomScalePageLayoutView="86" workbookViewId="0">
      <pane ySplit="7" topLeftCell="A18" activePane="bottomLeft" state="frozen"/>
      <selection pane="bottomLeft" activeCell="Q22" sqref="Q22"/>
    </sheetView>
  </sheetViews>
  <sheetFormatPr baseColWidth="10" defaultColWidth="11" defaultRowHeight="16" x14ac:dyDescent="0.2"/>
  <cols>
    <col min="2" max="2" width="15.5" customWidth="1"/>
    <col min="6" max="7" width="10.83203125" customWidth="1"/>
    <col min="8" max="8" width="8.33203125" hidden="1" customWidth="1"/>
    <col min="9" max="9" width="9.83203125" hidden="1" customWidth="1"/>
    <col min="10" max="10" width="7.1640625" hidden="1" customWidth="1"/>
    <col min="11" max="11" width="8" hidden="1" customWidth="1"/>
    <col min="12" max="12" width="17.1640625" hidden="1" customWidth="1"/>
    <col min="13" max="13" width="18.5" hidden="1" customWidth="1"/>
    <col min="14" max="14" width="5" hidden="1" customWidth="1"/>
  </cols>
  <sheetData>
    <row r="1" spans="1:14" ht="24" x14ac:dyDescent="0.3">
      <c r="A1" s="4" t="s">
        <v>310</v>
      </c>
      <c r="B1" s="4"/>
      <c r="C1" s="3"/>
      <c r="H1" s="4"/>
      <c r="I1" s="4"/>
      <c r="J1" s="3"/>
    </row>
    <row r="2" spans="1:14" x14ac:dyDescent="0.2">
      <c r="A2" s="3" t="s">
        <v>138</v>
      </c>
      <c r="B2" t="s">
        <v>153</v>
      </c>
      <c r="C2" s="3"/>
      <c r="H2" s="3"/>
      <c r="I2" t="s">
        <v>153</v>
      </c>
      <c r="J2" s="3"/>
    </row>
    <row r="3" spans="1:14" x14ac:dyDescent="0.2">
      <c r="A3" s="5" t="s">
        <v>139</v>
      </c>
      <c r="B3" s="6" t="s">
        <v>141</v>
      </c>
      <c r="H3" s="5"/>
      <c r="I3" s="6" t="s">
        <v>141</v>
      </c>
    </row>
    <row r="4" spans="1:14" x14ac:dyDescent="0.2">
      <c r="A4" s="7"/>
      <c r="B4" s="8" t="s">
        <v>144</v>
      </c>
      <c r="H4" s="7"/>
      <c r="I4" s="8" t="s">
        <v>144</v>
      </c>
    </row>
    <row r="5" spans="1:14" x14ac:dyDescent="0.2">
      <c r="A5" s="9"/>
      <c r="B5" s="19" t="s">
        <v>140</v>
      </c>
      <c r="H5" s="9"/>
      <c r="I5" s="19" t="s">
        <v>140</v>
      </c>
    </row>
    <row r="6" spans="1:14" ht="15.75" customHeight="1" x14ac:dyDescent="0.2">
      <c r="A6" t="s">
        <v>178</v>
      </c>
      <c r="B6" t="s">
        <v>183</v>
      </c>
      <c r="I6" t="s">
        <v>183</v>
      </c>
    </row>
    <row r="7" spans="1:14" ht="183" customHeight="1" x14ac:dyDescent="0.2">
      <c r="A7" s="15" t="s">
        <v>1</v>
      </c>
      <c r="B7" s="15" t="s">
        <v>314</v>
      </c>
      <c r="C7" s="15" t="s">
        <v>316</v>
      </c>
      <c r="D7" s="15" t="s">
        <v>461</v>
      </c>
      <c r="E7" s="15" t="s">
        <v>462</v>
      </c>
      <c r="F7" s="15" t="s">
        <v>315</v>
      </c>
      <c r="G7" s="15" t="s">
        <v>317</v>
      </c>
      <c r="H7" s="15" t="s">
        <v>1</v>
      </c>
      <c r="I7" s="15" t="s">
        <v>314</v>
      </c>
      <c r="J7" s="15" t="s">
        <v>316</v>
      </c>
      <c r="K7" s="15" t="s">
        <v>461</v>
      </c>
      <c r="L7" s="15" t="s">
        <v>462</v>
      </c>
      <c r="M7" s="15" t="s">
        <v>315</v>
      </c>
      <c r="N7" s="15" t="s">
        <v>317</v>
      </c>
    </row>
    <row r="8" spans="1:14" hidden="1" x14ac:dyDescent="0.2">
      <c r="A8" s="22">
        <v>1980</v>
      </c>
      <c r="B8">
        <f>SUMIFS(all_multi!$G$8:$G$741,all_multi!$F$8:$F$741,'MD Analysis'!A8)</f>
        <v>0</v>
      </c>
      <c r="C8">
        <f>B8</f>
        <v>0</v>
      </c>
      <c r="D8">
        <f>SUMIFS(all_multi!$H$8:$H$741,all_multi!$F$8:$F$741,'MD Analysis'!A8)</f>
        <v>0</v>
      </c>
      <c r="E8">
        <f>D8</f>
        <v>0</v>
      </c>
      <c r="F8">
        <f>SUMIFS(all_multi!M$8:M$741,all_multi!M$8:M$741,"1",all_multi!F$8:F$741,'MD Analysis'!A8)</f>
        <v>0</v>
      </c>
      <c r="G8">
        <f>F8</f>
        <v>0</v>
      </c>
      <c r="H8" s="22">
        <v>1980</v>
      </c>
      <c r="I8">
        <v>0</v>
      </c>
      <c r="J8">
        <f>B8</f>
        <v>0</v>
      </c>
    </row>
    <row r="9" spans="1:14" hidden="1" x14ac:dyDescent="0.2">
      <c r="A9" s="22">
        <v>1981</v>
      </c>
      <c r="B9">
        <f>SUMIFS(all_multi!$G$8:$G$741,all_multi!$F$8:$F$741,'MD Analysis'!A9)</f>
        <v>0</v>
      </c>
      <c r="C9">
        <f>C8+B9</f>
        <v>0</v>
      </c>
      <c r="D9">
        <f>SUMIFS(all_multi!$H$8:$H$741,all_multi!$F$8:$F$741,'MD Analysis'!A9)</f>
        <v>0</v>
      </c>
      <c r="E9">
        <f>E8+D9</f>
        <v>0</v>
      </c>
      <c r="F9">
        <f>SUMIFS(all_multi!M$8:M$741,all_multi!M$8:M$741,"1",all_multi!F$8:F$741,'MD Analysis'!A9)</f>
        <v>0</v>
      </c>
      <c r="G9">
        <f>G8+F9</f>
        <v>0</v>
      </c>
      <c r="H9" s="22">
        <v>1981</v>
      </c>
      <c r="I9">
        <v>0</v>
      </c>
      <c r="J9">
        <f>C8+B9</f>
        <v>0</v>
      </c>
    </row>
    <row r="10" spans="1:14" hidden="1" x14ac:dyDescent="0.2">
      <c r="A10" s="22">
        <v>1982</v>
      </c>
      <c r="B10">
        <f>SUMIFS(all_multi!$G$8:$G$741,all_multi!$F$8:$F$741,'MD Analysis'!A10)</f>
        <v>0</v>
      </c>
      <c r="C10">
        <f t="shared" ref="C10:C40" si="0">C9+B10</f>
        <v>0</v>
      </c>
      <c r="D10">
        <f>SUMIFS(all_multi!$H$8:$H$741,all_multi!$F$8:$F$741,'MD Analysis'!A10)</f>
        <v>0</v>
      </c>
      <c r="E10">
        <f t="shared" ref="E10:E42" si="1">E9+D10</f>
        <v>0</v>
      </c>
      <c r="F10">
        <f>SUMIFS(all_multi!M$8:M$741,all_multi!M$8:M$741,"1",all_multi!F$8:F$741,'MD Analysis'!A10)</f>
        <v>0</v>
      </c>
      <c r="G10">
        <f t="shared" ref="G10:G42" si="2">G9+F10</f>
        <v>0</v>
      </c>
      <c r="H10" s="22">
        <v>1982</v>
      </c>
      <c r="I10">
        <v>0</v>
      </c>
      <c r="J10">
        <f>C9+B10</f>
        <v>0</v>
      </c>
    </row>
    <row r="11" spans="1:14" hidden="1" x14ac:dyDescent="0.2">
      <c r="A11" s="22">
        <v>1983</v>
      </c>
      <c r="B11">
        <f>SUMIFS(all_multi!$G$8:$G$741,all_multi!$F$8:$F$741,'MD Analysis'!A11)</f>
        <v>0</v>
      </c>
      <c r="C11">
        <f t="shared" si="0"/>
        <v>0</v>
      </c>
      <c r="D11">
        <f>SUMIFS(all_multi!$H$8:$H$741,all_multi!$F$8:$F$741,'MD Analysis'!A11)</f>
        <v>0</v>
      </c>
      <c r="E11">
        <f t="shared" si="1"/>
        <v>0</v>
      </c>
      <c r="F11">
        <f>SUMIFS(all_multi!M$8:M$741,all_multi!M$8:M$741,"1",all_multi!F$8:F$741,'MD Analysis'!A11)</f>
        <v>0</v>
      </c>
      <c r="G11">
        <f t="shared" si="2"/>
        <v>0</v>
      </c>
      <c r="H11" s="22">
        <v>1983</v>
      </c>
      <c r="I11">
        <v>0</v>
      </c>
      <c r="J11">
        <f t="shared" ref="J11:J42" si="3">C10+B11</f>
        <v>0</v>
      </c>
    </row>
    <row r="12" spans="1:14" x14ac:dyDescent="0.2">
      <c r="A12" s="22">
        <v>1984</v>
      </c>
      <c r="B12">
        <f>SUMIFS(all_multi!$G$8:$G$768,all_multi!$F$8:$F$768,'MD Analysis'!A12)</f>
        <v>0</v>
      </c>
      <c r="C12">
        <f t="shared" si="0"/>
        <v>0</v>
      </c>
      <c r="D12">
        <f>SUMIFS(all_multi!$H$8:$H$768,all_multi!$F$8:$F$768,'MD Analysis'!A12)</f>
        <v>0</v>
      </c>
      <c r="E12">
        <f t="shared" si="1"/>
        <v>0</v>
      </c>
      <c r="F12">
        <f>SUMIFS(all_multi!M$8:M$768,all_multi!M$8:M$768,"1",all_multi!F$8:F$768,'MD Analysis'!A12)</f>
        <v>0</v>
      </c>
      <c r="G12">
        <f t="shared" si="2"/>
        <v>0</v>
      </c>
      <c r="H12" s="22">
        <v>1984</v>
      </c>
      <c r="I12">
        <v>0</v>
      </c>
      <c r="J12">
        <f t="shared" si="3"/>
        <v>0</v>
      </c>
    </row>
    <row r="13" spans="1:14" x14ac:dyDescent="0.2">
      <c r="A13" s="22">
        <v>1985</v>
      </c>
      <c r="B13">
        <f>SUMIFS(all_multi!$G$8:$G$768,all_multi!$F$8:$F$768,'MD Analysis'!A13)</f>
        <v>3</v>
      </c>
      <c r="C13">
        <f t="shared" si="0"/>
        <v>3</v>
      </c>
      <c r="D13">
        <f>SUMIFS(all_multi!$H$8:$H$768,all_multi!$F$8:$F$768,'MD Analysis'!A13)</f>
        <v>3</v>
      </c>
      <c r="E13">
        <f t="shared" si="1"/>
        <v>3</v>
      </c>
      <c r="F13">
        <f>SUMIFS(all_multi!M$8:M$768,all_multi!M$8:M$768,"1",all_multi!F$8:F$768,'MD Analysis'!A13)</f>
        <v>3</v>
      </c>
      <c r="G13">
        <f t="shared" si="2"/>
        <v>3</v>
      </c>
      <c r="H13" s="22">
        <v>1985</v>
      </c>
      <c r="I13">
        <v>3</v>
      </c>
      <c r="J13">
        <f t="shared" si="3"/>
        <v>3</v>
      </c>
    </row>
    <row r="14" spans="1:14" x14ac:dyDescent="0.2">
      <c r="A14" s="22">
        <v>1986</v>
      </c>
      <c r="B14">
        <f>SUMIFS(all_multi!$G$8:$G$768,all_multi!$F$8:$F$768,'MD Analysis'!A14)</f>
        <v>10</v>
      </c>
      <c r="C14">
        <f t="shared" si="0"/>
        <v>13</v>
      </c>
      <c r="D14">
        <f>SUMIFS(all_multi!$H$8:$H$768,all_multi!$F$8:$F$768,'MD Analysis'!A14)</f>
        <v>7</v>
      </c>
      <c r="E14">
        <f t="shared" si="1"/>
        <v>10</v>
      </c>
      <c r="F14">
        <f>SUMIFS(all_multi!M$8:M$768,all_multi!M$8:M$768,"1",all_multi!F$8:F$768,'MD Analysis'!A14)</f>
        <v>6</v>
      </c>
      <c r="G14">
        <f t="shared" si="2"/>
        <v>9</v>
      </c>
      <c r="H14" s="22">
        <v>1986</v>
      </c>
      <c r="I14">
        <v>10</v>
      </c>
      <c r="J14">
        <f t="shared" si="3"/>
        <v>13</v>
      </c>
    </row>
    <row r="15" spans="1:14" x14ac:dyDescent="0.2">
      <c r="A15" s="22">
        <v>1987</v>
      </c>
      <c r="B15">
        <f>SUMIFS(all_multi!$G$8:$G$768,all_multi!$F$8:$F$768,'MD Analysis'!A15)</f>
        <v>13</v>
      </c>
      <c r="C15">
        <f t="shared" si="0"/>
        <v>26</v>
      </c>
      <c r="D15">
        <f>SUMIFS(all_multi!$H$8:$H$768,all_multi!$F$8:$F$768,'MD Analysis'!A15)</f>
        <v>12</v>
      </c>
      <c r="E15">
        <f t="shared" si="1"/>
        <v>22</v>
      </c>
      <c r="F15">
        <f>SUMIFS(all_multi!M$8:M$768,all_multi!M$8:M$768,"1",all_multi!F$8:F$768,'MD Analysis'!A15)</f>
        <v>12</v>
      </c>
      <c r="G15">
        <f t="shared" si="2"/>
        <v>21</v>
      </c>
      <c r="H15" s="22">
        <v>1987</v>
      </c>
      <c r="I15">
        <v>13</v>
      </c>
      <c r="J15">
        <f t="shared" si="3"/>
        <v>26</v>
      </c>
    </row>
    <row r="16" spans="1:14" x14ac:dyDescent="0.2">
      <c r="A16" s="22">
        <v>1988</v>
      </c>
      <c r="B16">
        <f>SUMIFS(all_multi!$G$8:$G$768,all_multi!$F$8:$F$768,'MD Analysis'!A16)</f>
        <v>10</v>
      </c>
      <c r="C16">
        <f t="shared" si="0"/>
        <v>36</v>
      </c>
      <c r="D16">
        <f>SUMIFS(all_multi!$H$8:$H$768,all_multi!$F$8:$F$768,'MD Analysis'!A16)</f>
        <v>8</v>
      </c>
      <c r="E16">
        <f t="shared" si="1"/>
        <v>30</v>
      </c>
      <c r="F16">
        <f>SUMIFS(all_multi!M$8:M$768,all_multi!M$8:M$768,"1",all_multi!F$8:F$768,'MD Analysis'!A16)</f>
        <v>7</v>
      </c>
      <c r="G16">
        <f t="shared" si="2"/>
        <v>28</v>
      </c>
      <c r="H16" s="22">
        <v>1988</v>
      </c>
      <c r="I16">
        <v>10</v>
      </c>
      <c r="J16">
        <f t="shared" si="3"/>
        <v>36</v>
      </c>
    </row>
    <row r="17" spans="1:10" x14ac:dyDescent="0.2">
      <c r="A17" s="22">
        <v>1989</v>
      </c>
      <c r="B17">
        <f>SUMIFS(all_multi!$G$8:$G$768,all_multi!$F$8:$F$768,'MD Analysis'!A17)</f>
        <v>4</v>
      </c>
      <c r="C17">
        <f t="shared" si="0"/>
        <v>40</v>
      </c>
      <c r="D17">
        <f>SUMIFS(all_multi!$H$8:$H$768,all_multi!$F$8:$F$768,'MD Analysis'!A17)</f>
        <v>2</v>
      </c>
      <c r="E17">
        <f t="shared" si="1"/>
        <v>32</v>
      </c>
      <c r="F17">
        <f>SUMIFS(all_multi!M$8:M$768,all_multi!M$8:M$768,"1",all_multi!F$8:F$768,'MD Analysis'!A17)</f>
        <v>2</v>
      </c>
      <c r="G17">
        <f t="shared" si="2"/>
        <v>30</v>
      </c>
      <c r="H17" s="22">
        <v>1989</v>
      </c>
      <c r="I17">
        <v>4</v>
      </c>
      <c r="J17">
        <f t="shared" si="3"/>
        <v>40</v>
      </c>
    </row>
    <row r="18" spans="1:10" x14ac:dyDescent="0.2">
      <c r="A18" s="22">
        <v>1990</v>
      </c>
      <c r="B18">
        <f>SUMIFS(all_multi!$G$8:$G$768,all_multi!$F$8:$F$768,'MD Analysis'!A18)</f>
        <v>7</v>
      </c>
      <c r="C18">
        <f t="shared" si="0"/>
        <v>47</v>
      </c>
      <c r="D18">
        <f>SUMIFS(all_multi!$H$8:$H$768,all_multi!$F$8:$F$768,'MD Analysis'!A18)</f>
        <v>3</v>
      </c>
      <c r="E18">
        <f t="shared" si="1"/>
        <v>35</v>
      </c>
      <c r="F18">
        <f>SUMIFS(all_multi!M$8:M$768,all_multi!M$8:M$768,"1",all_multi!F$8:F$768,'MD Analysis'!A18)</f>
        <v>3</v>
      </c>
      <c r="G18">
        <f t="shared" si="2"/>
        <v>33</v>
      </c>
      <c r="H18" s="22">
        <v>1990</v>
      </c>
      <c r="I18">
        <v>7</v>
      </c>
      <c r="J18">
        <f t="shared" si="3"/>
        <v>47</v>
      </c>
    </row>
    <row r="19" spans="1:10" x14ac:dyDescent="0.2">
      <c r="A19" s="22">
        <v>1991</v>
      </c>
      <c r="B19">
        <f>SUMIFS(all_multi!$G$8:$G$768,all_multi!$F$8:$F$768,'MD Analysis'!A19)</f>
        <v>12</v>
      </c>
      <c r="C19">
        <f t="shared" si="0"/>
        <v>59</v>
      </c>
      <c r="D19">
        <f>SUMIFS(all_multi!$H$8:$H$768,all_multi!$F$8:$F$768,'MD Analysis'!A19)</f>
        <v>6</v>
      </c>
      <c r="E19">
        <f t="shared" si="1"/>
        <v>41</v>
      </c>
      <c r="F19">
        <f>SUMIFS(all_multi!M$8:M$768,all_multi!M$8:M$768,"1",all_multi!F$8:F$768,'MD Analysis'!A19)</f>
        <v>4</v>
      </c>
      <c r="G19">
        <f t="shared" si="2"/>
        <v>37</v>
      </c>
      <c r="H19" s="22">
        <v>1991</v>
      </c>
      <c r="I19">
        <v>12</v>
      </c>
      <c r="J19">
        <f t="shared" si="3"/>
        <v>59</v>
      </c>
    </row>
    <row r="20" spans="1:10" x14ac:dyDescent="0.2">
      <c r="A20" s="22">
        <v>1992</v>
      </c>
      <c r="B20">
        <f>SUMIFS(all_multi!$G$8:$G$768,all_multi!$F$8:$F$768,'MD Analysis'!A20)</f>
        <v>17</v>
      </c>
      <c r="C20">
        <f t="shared" si="0"/>
        <v>76</v>
      </c>
      <c r="D20">
        <f>SUMIFS(all_multi!$H$8:$H$768,all_multi!$F$8:$F$768,'MD Analysis'!A20)</f>
        <v>12</v>
      </c>
      <c r="E20">
        <f t="shared" si="1"/>
        <v>53</v>
      </c>
      <c r="F20">
        <f>SUMIFS(all_multi!M$8:M$768,all_multi!M$8:M$768,"1",all_multi!F$8:F$768,'MD Analysis'!A20)</f>
        <v>9</v>
      </c>
      <c r="G20">
        <f t="shared" si="2"/>
        <v>46</v>
      </c>
      <c r="H20" s="22">
        <v>1992</v>
      </c>
      <c r="I20">
        <v>17</v>
      </c>
      <c r="J20">
        <f t="shared" si="3"/>
        <v>76</v>
      </c>
    </row>
    <row r="21" spans="1:10" x14ac:dyDescent="0.2">
      <c r="A21" s="22">
        <v>1993</v>
      </c>
      <c r="B21">
        <f>SUMIFS(all_multi!$G$8:$G$768,all_multi!$F$8:$F$768,'MD Analysis'!A21)</f>
        <v>14</v>
      </c>
      <c r="C21">
        <f t="shared" si="0"/>
        <v>90</v>
      </c>
      <c r="D21">
        <f>SUMIFS(all_multi!$H$8:$H$768,all_multi!$F$8:$F$768,'MD Analysis'!A21)</f>
        <v>7</v>
      </c>
      <c r="E21">
        <f t="shared" si="1"/>
        <v>60</v>
      </c>
      <c r="F21">
        <f>SUMIFS(all_multi!M$8:M$768,all_multi!M$8:M$768,"1",all_multi!F$8:F$768,'MD Analysis'!A21)</f>
        <v>7</v>
      </c>
      <c r="G21">
        <f t="shared" si="2"/>
        <v>53</v>
      </c>
      <c r="H21" s="22">
        <v>1993</v>
      </c>
      <c r="I21">
        <v>14</v>
      </c>
      <c r="J21">
        <f t="shared" si="3"/>
        <v>90</v>
      </c>
    </row>
    <row r="22" spans="1:10" x14ac:dyDescent="0.2">
      <c r="A22" s="22">
        <v>1994</v>
      </c>
      <c r="B22">
        <f>SUMIFS(all_multi!$G$8:$G$768,all_multi!$F$8:$F$768,'MD Analysis'!A22)</f>
        <v>13</v>
      </c>
      <c r="C22">
        <f t="shared" si="0"/>
        <v>103</v>
      </c>
      <c r="D22">
        <f>SUMIFS(all_multi!$H$8:$H$768,all_multi!$F$8:$F$768,'MD Analysis'!A22)</f>
        <v>4</v>
      </c>
      <c r="E22">
        <f t="shared" si="1"/>
        <v>64</v>
      </c>
      <c r="F22">
        <f>SUMIFS(all_multi!M$8:M$768,all_multi!M$8:M$768,"1",all_multi!F$8:F$768,'MD Analysis'!A22)</f>
        <v>4</v>
      </c>
      <c r="G22">
        <f t="shared" si="2"/>
        <v>57</v>
      </c>
      <c r="H22" s="22">
        <v>1994</v>
      </c>
      <c r="I22">
        <v>13</v>
      </c>
      <c r="J22">
        <f t="shared" si="3"/>
        <v>103</v>
      </c>
    </row>
    <row r="23" spans="1:10" x14ac:dyDescent="0.2">
      <c r="A23" s="22">
        <v>1995</v>
      </c>
      <c r="B23">
        <f>SUMIFS(all_multi!$G$8:$G$768,all_multi!$F$8:$F$768,'MD Analysis'!A23)</f>
        <v>24</v>
      </c>
      <c r="C23">
        <f t="shared" si="0"/>
        <v>127</v>
      </c>
      <c r="D23">
        <f>SUMIFS(all_multi!$H$8:$H$768,all_multi!$F$8:$F$768,'MD Analysis'!A23)</f>
        <v>15</v>
      </c>
      <c r="E23">
        <f t="shared" si="1"/>
        <v>79</v>
      </c>
      <c r="F23">
        <f>SUMIFS(all_multi!M$8:M$768,all_multi!M$8:M$768,"1",all_multi!F$8:F$768,'MD Analysis'!A23)</f>
        <v>9</v>
      </c>
      <c r="G23">
        <f t="shared" si="2"/>
        <v>66</v>
      </c>
      <c r="H23" s="22">
        <v>1995</v>
      </c>
      <c r="I23">
        <v>24</v>
      </c>
      <c r="J23">
        <f t="shared" si="3"/>
        <v>127</v>
      </c>
    </row>
    <row r="24" spans="1:10" x14ac:dyDescent="0.2">
      <c r="A24" s="22">
        <v>1996</v>
      </c>
      <c r="B24">
        <f>SUMIFS(all_multi!$G$8:$G$768,all_multi!$F$8:$F$768,'MD Analysis'!A24)</f>
        <v>23</v>
      </c>
      <c r="C24">
        <f t="shared" si="0"/>
        <v>150</v>
      </c>
      <c r="D24">
        <f>SUMIFS(all_multi!$H$8:$H$768,all_multi!$F$8:$F$768,'MD Analysis'!A24)</f>
        <v>13</v>
      </c>
      <c r="E24">
        <f t="shared" si="1"/>
        <v>92</v>
      </c>
      <c r="F24">
        <f>SUMIFS(all_multi!M$8:M$768,all_multi!M$8:M$768,"1",all_multi!F$8:F$768,'MD Analysis'!A24)</f>
        <v>8</v>
      </c>
      <c r="G24">
        <f t="shared" si="2"/>
        <v>74</v>
      </c>
      <c r="H24" s="22">
        <v>1996</v>
      </c>
      <c r="I24">
        <v>23</v>
      </c>
      <c r="J24">
        <f t="shared" si="3"/>
        <v>150</v>
      </c>
    </row>
    <row r="25" spans="1:10" x14ac:dyDescent="0.2">
      <c r="A25" s="22">
        <v>1997</v>
      </c>
      <c r="B25">
        <f>SUMIFS(all_multi!$G$8:$G$768,all_multi!$F$8:$F$768,'MD Analysis'!A25)</f>
        <v>24</v>
      </c>
      <c r="C25">
        <f t="shared" si="0"/>
        <v>174</v>
      </c>
      <c r="D25">
        <f>SUMIFS(all_multi!$H$8:$H$768,all_multi!$F$8:$F$768,'MD Analysis'!A25)</f>
        <v>8</v>
      </c>
      <c r="E25">
        <f t="shared" si="1"/>
        <v>100</v>
      </c>
      <c r="F25">
        <f>SUMIFS(all_multi!M$8:M$768,all_multi!M$8:M$768,"1",all_multi!F$8:F$768,'MD Analysis'!A25)</f>
        <v>2</v>
      </c>
      <c r="G25">
        <f t="shared" si="2"/>
        <v>76</v>
      </c>
      <c r="H25" s="22">
        <v>1997</v>
      </c>
      <c r="I25">
        <v>24</v>
      </c>
      <c r="J25">
        <f t="shared" si="3"/>
        <v>174</v>
      </c>
    </row>
    <row r="26" spans="1:10" x14ac:dyDescent="0.2">
      <c r="A26" s="22">
        <v>1998</v>
      </c>
      <c r="B26">
        <f>SUMIFS(all_multi!$G$8:$G$768,all_multi!$F$8:$F$768,'MD Analysis'!A26)</f>
        <v>19</v>
      </c>
      <c r="C26">
        <f t="shared" si="0"/>
        <v>193</v>
      </c>
      <c r="D26">
        <f>SUMIFS(all_multi!$H$8:$H$768,all_multi!$F$8:$F$768,'MD Analysis'!A26)</f>
        <v>4</v>
      </c>
      <c r="E26">
        <f t="shared" si="1"/>
        <v>104</v>
      </c>
      <c r="F26">
        <f>SUMIFS(all_multi!M$8:M$768,all_multi!M$8:M$768,"1",all_multi!F$8:F$768,'MD Analysis'!A26)</f>
        <v>1</v>
      </c>
      <c r="G26">
        <f t="shared" si="2"/>
        <v>77</v>
      </c>
      <c r="H26" s="22">
        <v>1998</v>
      </c>
      <c r="I26">
        <v>19</v>
      </c>
      <c r="J26">
        <f t="shared" si="3"/>
        <v>193</v>
      </c>
    </row>
    <row r="27" spans="1:10" x14ac:dyDescent="0.2">
      <c r="A27" s="22">
        <v>1999</v>
      </c>
      <c r="B27">
        <f>SUMIFS(all_multi!$G$8:$G$768,all_multi!$F$8:$F$768,'MD Analysis'!A27)</f>
        <v>19</v>
      </c>
      <c r="C27">
        <f t="shared" si="0"/>
        <v>212</v>
      </c>
      <c r="D27">
        <f>SUMIFS(all_multi!$H$8:$H$768,all_multi!$F$8:$F$768,'MD Analysis'!A27)</f>
        <v>4</v>
      </c>
      <c r="E27">
        <f t="shared" si="1"/>
        <v>108</v>
      </c>
      <c r="F27">
        <f>SUMIFS(all_multi!M$8:M$768,all_multi!M$8:M$768,"1",all_multi!F$8:F$768,'MD Analysis'!A27)</f>
        <v>3</v>
      </c>
      <c r="G27">
        <f t="shared" si="2"/>
        <v>80</v>
      </c>
      <c r="H27" s="22">
        <v>1999</v>
      </c>
      <c r="I27">
        <v>19</v>
      </c>
      <c r="J27">
        <f t="shared" si="3"/>
        <v>212</v>
      </c>
    </row>
    <row r="28" spans="1:10" x14ac:dyDescent="0.2">
      <c r="A28" s="22">
        <v>2000</v>
      </c>
      <c r="B28">
        <f>SUMIFS(all_multi!$G$8:$G$768,all_multi!$F$8:$F$768,'MD Analysis'!A28)</f>
        <v>69</v>
      </c>
      <c r="C28">
        <f t="shared" si="0"/>
        <v>281</v>
      </c>
      <c r="D28">
        <f>SUMIFS(all_multi!$H$8:$H$768,all_multi!$F$8:$F$768,'MD Analysis'!A28)</f>
        <v>53</v>
      </c>
      <c r="E28">
        <f t="shared" si="1"/>
        <v>161</v>
      </c>
      <c r="F28">
        <f>SUMIFS(all_multi!M$8:M$768,all_multi!M$8:M$768,"1",all_multi!F$8:F$768,'MD Analysis'!A28)</f>
        <v>24</v>
      </c>
      <c r="G28">
        <f t="shared" si="2"/>
        <v>104</v>
      </c>
      <c r="H28" s="22">
        <v>2000</v>
      </c>
      <c r="I28">
        <v>68</v>
      </c>
      <c r="J28">
        <f t="shared" si="3"/>
        <v>281</v>
      </c>
    </row>
    <row r="29" spans="1:10" x14ac:dyDescent="0.2">
      <c r="A29" s="22">
        <v>2001</v>
      </c>
      <c r="B29">
        <f>SUMIFS(all_multi!$G$8:$G$768,all_multi!$F$8:$F$768,'MD Analysis'!A29)</f>
        <v>18</v>
      </c>
      <c r="C29">
        <f t="shared" si="0"/>
        <v>299</v>
      </c>
      <c r="D29">
        <f>SUMIFS(all_multi!$H$8:$H$768,all_multi!$F$8:$F$768,'MD Analysis'!A29)</f>
        <v>5</v>
      </c>
      <c r="E29">
        <f t="shared" si="1"/>
        <v>166</v>
      </c>
      <c r="F29">
        <f>SUMIFS(all_multi!M$8:M$768,all_multi!M$8:M$768,"1",all_multi!F$8:F$768,'MD Analysis'!A29)</f>
        <v>2</v>
      </c>
      <c r="G29">
        <f t="shared" si="2"/>
        <v>106</v>
      </c>
      <c r="H29" s="22">
        <v>2001</v>
      </c>
      <c r="I29">
        <v>18</v>
      </c>
      <c r="J29">
        <f t="shared" si="3"/>
        <v>299</v>
      </c>
    </row>
    <row r="30" spans="1:10" x14ac:dyDescent="0.2">
      <c r="A30" s="22">
        <v>2002</v>
      </c>
      <c r="B30">
        <f>SUMIFS(all_multi!$G$8:$G$768,all_multi!$F$8:$F$768,'MD Analysis'!A30)</f>
        <v>23</v>
      </c>
      <c r="C30">
        <f t="shared" si="0"/>
        <v>322</v>
      </c>
      <c r="D30">
        <f>SUMIFS(all_multi!$H$8:$H$768,all_multi!$F$8:$F$768,'MD Analysis'!A30)</f>
        <v>8</v>
      </c>
      <c r="E30">
        <f t="shared" si="1"/>
        <v>174</v>
      </c>
      <c r="F30">
        <f>SUMIFS(all_multi!M$8:M$768,all_multi!M$8:M$768,"1",all_multi!F$8:F$768,'MD Analysis'!A30)</f>
        <v>2</v>
      </c>
      <c r="G30">
        <f t="shared" si="2"/>
        <v>108</v>
      </c>
      <c r="H30" s="22">
        <v>2002</v>
      </c>
      <c r="I30">
        <v>23</v>
      </c>
      <c r="J30">
        <f t="shared" si="3"/>
        <v>322</v>
      </c>
    </row>
    <row r="31" spans="1:10" x14ac:dyDescent="0.2">
      <c r="A31" s="22">
        <v>2003</v>
      </c>
      <c r="B31">
        <f>SUMIFS(all_multi!$G$8:$G$768,all_multi!$F$8:$F$768,'MD Analysis'!A31)</f>
        <v>33</v>
      </c>
      <c r="C31">
        <f t="shared" si="0"/>
        <v>355</v>
      </c>
      <c r="D31">
        <f>SUMIFS(all_multi!$H$8:$H$768,all_multi!$F$8:$F$768,'MD Analysis'!A31)</f>
        <v>8</v>
      </c>
      <c r="E31">
        <f t="shared" si="1"/>
        <v>182</v>
      </c>
      <c r="F31">
        <f>SUMIFS(all_multi!M$8:M$768,all_multi!M$8:M$768,"1",all_multi!F$8:F$768,'MD Analysis'!A31)</f>
        <v>2</v>
      </c>
      <c r="G31">
        <f t="shared" si="2"/>
        <v>110</v>
      </c>
      <c r="H31" s="22">
        <v>2003</v>
      </c>
      <c r="I31">
        <v>33</v>
      </c>
      <c r="J31">
        <f t="shared" si="3"/>
        <v>355</v>
      </c>
    </row>
    <row r="32" spans="1:10" x14ac:dyDescent="0.2">
      <c r="A32" s="22">
        <v>2004</v>
      </c>
      <c r="B32">
        <f>SUMIFS(all_multi!$G$8:$G$768,all_multi!$F$8:$F$768,'MD Analysis'!A32)</f>
        <v>25</v>
      </c>
      <c r="C32">
        <f t="shared" si="0"/>
        <v>380</v>
      </c>
      <c r="D32">
        <f>SUMIFS(all_multi!$H$8:$H$768,all_multi!$F$8:$F$768,'MD Analysis'!A32)</f>
        <v>7</v>
      </c>
      <c r="E32">
        <f t="shared" si="1"/>
        <v>189</v>
      </c>
      <c r="F32">
        <f>SUMIFS(all_multi!M$8:M$768,all_multi!M$8:M$768,"1",all_multi!F$8:F$768,'MD Analysis'!A32)</f>
        <v>1</v>
      </c>
      <c r="G32">
        <f t="shared" si="2"/>
        <v>111</v>
      </c>
      <c r="H32" s="22">
        <v>2004</v>
      </c>
      <c r="I32">
        <v>25</v>
      </c>
      <c r="J32">
        <f t="shared" si="3"/>
        <v>380</v>
      </c>
    </row>
    <row r="33" spans="1:10" x14ac:dyDescent="0.2">
      <c r="A33" s="22">
        <v>2005</v>
      </c>
      <c r="B33">
        <f>SUMIFS(all_multi!$G$8:$G$768,all_multi!$F$8:$F$768,'MD Analysis'!A33)</f>
        <v>40</v>
      </c>
      <c r="C33">
        <f t="shared" si="0"/>
        <v>420</v>
      </c>
      <c r="D33">
        <f>SUMIFS(all_multi!$H$8:$H$768,all_multi!$F$8:$F$768,'MD Analysis'!A33)</f>
        <v>11</v>
      </c>
      <c r="E33">
        <f t="shared" si="1"/>
        <v>200</v>
      </c>
      <c r="F33">
        <f>SUMIFS(all_multi!M$8:M$768,all_multi!M$8:M$768,"1",all_multi!F$8:F$768,'MD Analysis'!A33)</f>
        <v>6</v>
      </c>
      <c r="G33">
        <f t="shared" si="2"/>
        <v>117</v>
      </c>
      <c r="H33" s="22">
        <v>2005</v>
      </c>
      <c r="I33">
        <v>40</v>
      </c>
      <c r="J33">
        <f t="shared" si="3"/>
        <v>420</v>
      </c>
    </row>
    <row r="34" spans="1:10" x14ac:dyDescent="0.2">
      <c r="A34" s="22">
        <v>2006</v>
      </c>
      <c r="B34">
        <f>SUMIFS(all_multi!$G$8:$G$768,all_multi!$F$8:$F$768,'MD Analysis'!A34)</f>
        <v>63</v>
      </c>
      <c r="C34">
        <f t="shared" si="0"/>
        <v>483</v>
      </c>
      <c r="D34">
        <f>SUMIFS(all_multi!$H$8:$H$768,all_multi!$F$8:$F$768,'MD Analysis'!A34)</f>
        <v>22</v>
      </c>
      <c r="E34">
        <f t="shared" si="1"/>
        <v>222</v>
      </c>
      <c r="F34">
        <f>SUMIFS(all_multi!M$8:M$768,all_multi!M$8:M$768,"1",all_multi!F$8:F$768,'MD Analysis'!A34)</f>
        <v>3</v>
      </c>
      <c r="G34">
        <f t="shared" si="2"/>
        <v>120</v>
      </c>
      <c r="H34" s="22">
        <v>2006</v>
      </c>
      <c r="I34">
        <v>63</v>
      </c>
      <c r="J34">
        <f t="shared" si="3"/>
        <v>483</v>
      </c>
    </row>
    <row r="35" spans="1:10" x14ac:dyDescent="0.2">
      <c r="A35" s="22">
        <v>2007</v>
      </c>
      <c r="B35">
        <f>SUMIFS(all_multi!$G$8:$G$768,all_multi!$F$8:$F$768,'MD Analysis'!A35)</f>
        <v>39</v>
      </c>
      <c r="C35">
        <f t="shared" si="0"/>
        <v>522</v>
      </c>
      <c r="D35">
        <f>SUMIFS(all_multi!$H$8:$H$768,all_multi!$F$8:$F$768,'MD Analysis'!A35)</f>
        <v>9</v>
      </c>
      <c r="E35">
        <f t="shared" si="1"/>
        <v>231</v>
      </c>
      <c r="F35">
        <f>SUMIFS(all_multi!M$8:M$768,all_multi!M$8:M$768,"1",all_multi!F$8:F$768,'MD Analysis'!A35)</f>
        <v>2</v>
      </c>
      <c r="G35">
        <f t="shared" si="2"/>
        <v>122</v>
      </c>
      <c r="H35" s="22">
        <v>2007</v>
      </c>
      <c r="I35">
        <v>37</v>
      </c>
      <c r="J35">
        <f t="shared" si="3"/>
        <v>522</v>
      </c>
    </row>
    <row r="36" spans="1:10" x14ac:dyDescent="0.2">
      <c r="A36" s="22">
        <v>2008</v>
      </c>
      <c r="B36">
        <f>SUMIFS(all_multi!$G$8:$G$768,all_multi!$F$8:$F$768,'MD Analysis'!A36)</f>
        <v>22</v>
      </c>
      <c r="C36">
        <f t="shared" si="0"/>
        <v>544</v>
      </c>
      <c r="D36">
        <f>SUMIFS(all_multi!$H$8:$H$768,all_multi!$F$8:$F$768,'MD Analysis'!A36)</f>
        <v>3</v>
      </c>
      <c r="E36">
        <f t="shared" si="1"/>
        <v>234</v>
      </c>
      <c r="F36">
        <f>SUMIFS(all_multi!M$8:M$768,all_multi!M$8:M$768,"1",all_multi!F$8:F$768,'MD Analysis'!A36)</f>
        <v>0</v>
      </c>
      <c r="G36">
        <f t="shared" si="2"/>
        <v>122</v>
      </c>
      <c r="H36" s="22">
        <v>2008</v>
      </c>
      <c r="I36">
        <v>22</v>
      </c>
      <c r="J36">
        <f t="shared" si="3"/>
        <v>544</v>
      </c>
    </row>
    <row r="37" spans="1:10" x14ac:dyDescent="0.2">
      <c r="A37" s="22">
        <v>2009</v>
      </c>
      <c r="B37">
        <f>SUMIFS(all_multi!$G$8:$G$768,all_multi!$F$8:$F$768,'MD Analysis'!A37)</f>
        <v>21</v>
      </c>
      <c r="C37">
        <f t="shared" si="0"/>
        <v>565</v>
      </c>
      <c r="D37">
        <f>SUMIFS(all_multi!$H$8:$H$768,all_multi!$F$8:$F$768,'MD Analysis'!A37)</f>
        <v>6</v>
      </c>
      <c r="E37">
        <f t="shared" si="1"/>
        <v>240</v>
      </c>
      <c r="F37">
        <f>SUMIFS(all_multi!M$8:M$768,all_multi!M$8:M$768,"1",all_multi!F$8:F$768,'MD Analysis'!A37)</f>
        <v>2</v>
      </c>
      <c r="G37">
        <f t="shared" si="2"/>
        <v>124</v>
      </c>
      <c r="H37" s="22">
        <v>2009</v>
      </c>
      <c r="I37">
        <v>21</v>
      </c>
      <c r="J37">
        <f t="shared" si="3"/>
        <v>565</v>
      </c>
    </row>
    <row r="38" spans="1:10" x14ac:dyDescent="0.2">
      <c r="A38" s="22">
        <v>2010</v>
      </c>
      <c r="B38">
        <f>SUMIFS(all_multi!$G$8:$G$768,all_multi!$F$8:$F$768,'MD Analysis'!A38)</f>
        <v>47</v>
      </c>
      <c r="C38">
        <f t="shared" si="0"/>
        <v>612</v>
      </c>
      <c r="D38">
        <f>SUMIFS(all_multi!$H$8:$H$768,all_multi!$F$8:$F$768,'MD Analysis'!A38)</f>
        <v>7</v>
      </c>
      <c r="E38">
        <f t="shared" si="1"/>
        <v>247</v>
      </c>
      <c r="F38">
        <f>SUMIFS(all_multi!M$8:M$768,all_multi!M$8:M$768,"1",all_multi!F$8:F$768,'MD Analysis'!A38)</f>
        <v>1</v>
      </c>
      <c r="G38">
        <f t="shared" si="2"/>
        <v>125</v>
      </c>
      <c r="H38" s="22">
        <v>2010</v>
      </c>
      <c r="I38">
        <v>47</v>
      </c>
      <c r="J38">
        <f t="shared" si="3"/>
        <v>612</v>
      </c>
    </row>
    <row r="39" spans="1:10" x14ac:dyDescent="0.2">
      <c r="A39" s="22">
        <v>2011</v>
      </c>
      <c r="B39">
        <f>SUMIFS(all_multi!$G$8:$G$768,all_multi!$F$8:$F$768,'MD Analysis'!A39)</f>
        <v>49</v>
      </c>
      <c r="C39">
        <f t="shared" si="0"/>
        <v>661</v>
      </c>
      <c r="D39">
        <f>SUMIFS(all_multi!$H$8:$H$768,all_multi!$F$8:$F$768,'MD Analysis'!A39)</f>
        <v>5</v>
      </c>
      <c r="E39">
        <f t="shared" si="1"/>
        <v>252</v>
      </c>
      <c r="F39">
        <f>SUMIFS(all_multi!M$8:M$768,all_multi!M$8:M$768,"1",all_multi!F$8:F$768,'MD Analysis'!A39)</f>
        <v>1</v>
      </c>
      <c r="G39">
        <f t="shared" si="2"/>
        <v>126</v>
      </c>
      <c r="H39" s="22">
        <v>2011</v>
      </c>
      <c r="I39">
        <v>46</v>
      </c>
      <c r="J39">
        <f t="shared" si="3"/>
        <v>661</v>
      </c>
    </row>
    <row r="40" spans="1:10" x14ac:dyDescent="0.2">
      <c r="A40" s="22">
        <v>2012</v>
      </c>
      <c r="B40">
        <f>SUMIFS(all_multi!$G$8:$G$768,all_multi!$F$8:$F$768,'MD Analysis'!A40)</f>
        <v>44</v>
      </c>
      <c r="C40">
        <f t="shared" si="0"/>
        <v>705</v>
      </c>
      <c r="D40">
        <f>SUMIFS(all_multi!$H$8:$H$768,all_multi!$F$8:$F$768,'MD Analysis'!A40)</f>
        <v>6</v>
      </c>
      <c r="E40">
        <f t="shared" si="1"/>
        <v>258</v>
      </c>
      <c r="F40">
        <f>SUMIFS(all_multi!M$8:M$768,all_multi!M$8:M$768,"1",all_multi!F$8:F$768,'MD Analysis'!A40)</f>
        <v>4</v>
      </c>
      <c r="G40">
        <f t="shared" si="2"/>
        <v>130</v>
      </c>
      <c r="H40" s="22">
        <v>2012</v>
      </c>
      <c r="I40">
        <v>43</v>
      </c>
      <c r="J40">
        <f t="shared" si="3"/>
        <v>705</v>
      </c>
    </row>
    <row r="41" spans="1:10" x14ac:dyDescent="0.2">
      <c r="A41" s="22">
        <v>2013</v>
      </c>
      <c r="B41">
        <f>SUMIFS(all_multi!$G$8:$G$768,all_multi!$F$8:$F$768,'MD Analysis'!A41)</f>
        <v>32</v>
      </c>
      <c r="C41">
        <f>C40+B41</f>
        <v>737</v>
      </c>
      <c r="D41">
        <f>SUMIFS(all_multi!$H$8:$H$768,all_multi!$F$8:$F$768,'MD Analysis'!A41)</f>
        <v>1</v>
      </c>
      <c r="E41">
        <f t="shared" si="1"/>
        <v>259</v>
      </c>
      <c r="F41">
        <f>SUMIFS(all_multi!M$8:M$768,all_multi!M$8:M$768,"1",all_multi!F$8:F$768,'MD Analysis'!A41)</f>
        <v>0</v>
      </c>
      <c r="G41">
        <f t="shared" si="2"/>
        <v>130</v>
      </c>
      <c r="H41" s="22">
        <v>2013</v>
      </c>
      <c r="I41">
        <v>25</v>
      </c>
      <c r="J41">
        <f t="shared" si="3"/>
        <v>737</v>
      </c>
    </row>
    <row r="42" spans="1:10" x14ac:dyDescent="0.2">
      <c r="A42" s="22">
        <v>2014</v>
      </c>
      <c r="B42">
        <f>SUMIFS(all_multi!$G$8:$G$768,all_multi!$F$8:$F$768,'MD Analysis'!A42)</f>
        <v>24</v>
      </c>
      <c r="C42">
        <f>C41+B42</f>
        <v>761</v>
      </c>
      <c r="D42">
        <f>SUMIFS(all_multi!$H$8:$H$768,all_multi!$F$8:$F$768,'MD Analysis'!A42)</f>
        <v>3</v>
      </c>
      <c r="E42">
        <f t="shared" si="1"/>
        <v>262</v>
      </c>
      <c r="F42">
        <f>SUMIFS(all_multi!M$8:M$768,all_multi!M$8:M$768,"1",all_multi!F$8:F$768,'MD Analysis'!A42)</f>
        <v>3</v>
      </c>
      <c r="G42">
        <f t="shared" si="2"/>
        <v>133</v>
      </c>
      <c r="H42">
        <v>2014</v>
      </c>
      <c r="I42">
        <v>6</v>
      </c>
      <c r="J42" s="76">
        <f t="shared" si="3"/>
        <v>761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8"/>
  <sheetViews>
    <sheetView workbookViewId="0">
      <pane ySplit="7" topLeftCell="A322" activePane="bottomLeft" state="frozen"/>
      <selection pane="bottomLeft" activeCell="E349" sqref="E349"/>
    </sheetView>
  </sheetViews>
  <sheetFormatPr baseColWidth="10" defaultColWidth="11" defaultRowHeight="16" x14ac:dyDescent="0.2"/>
  <cols>
    <col min="2" max="2" width="15.83203125" customWidth="1"/>
    <col min="4" max="4" width="17.33203125" customWidth="1"/>
  </cols>
  <sheetData>
    <row r="1" spans="1:8" ht="24" x14ac:dyDescent="0.3">
      <c r="A1" s="4" t="s">
        <v>287</v>
      </c>
      <c r="B1" s="4"/>
      <c r="C1" s="3"/>
    </row>
    <row r="2" spans="1:8" x14ac:dyDescent="0.2">
      <c r="A2" s="3" t="s">
        <v>138</v>
      </c>
      <c r="B2" s="27" t="s">
        <v>288</v>
      </c>
      <c r="C2" s="3"/>
    </row>
    <row r="3" spans="1:8" x14ac:dyDescent="0.2">
      <c r="A3" s="5" t="s">
        <v>139</v>
      </c>
      <c r="B3" s="6" t="s">
        <v>141</v>
      </c>
    </row>
    <row r="4" spans="1:8" x14ac:dyDescent="0.2">
      <c r="A4" s="7"/>
      <c r="B4" s="8" t="s">
        <v>144</v>
      </c>
    </row>
    <row r="5" spans="1:8" x14ac:dyDescent="0.2">
      <c r="A5" s="9"/>
      <c r="B5" s="19" t="s">
        <v>140</v>
      </c>
    </row>
    <row r="6" spans="1:8" x14ac:dyDescent="0.2">
      <c r="A6" s="25"/>
    </row>
    <row r="7" spans="1:8" ht="32" x14ac:dyDescent="0.2">
      <c r="A7" s="15" t="s">
        <v>3</v>
      </c>
      <c r="B7" s="32" t="s">
        <v>0</v>
      </c>
      <c r="C7" s="15" t="s">
        <v>1</v>
      </c>
      <c r="D7" s="15" t="s">
        <v>241</v>
      </c>
      <c r="E7" s="15" t="s">
        <v>182</v>
      </c>
      <c r="F7" s="15" t="s">
        <v>147</v>
      </c>
      <c r="G7" s="24" t="s">
        <v>148</v>
      </c>
      <c r="H7" s="15" t="s">
        <v>289</v>
      </c>
    </row>
    <row r="8" spans="1:8" x14ac:dyDescent="0.2">
      <c r="B8" s="1" t="s">
        <v>171</v>
      </c>
      <c r="C8">
        <v>2010</v>
      </c>
      <c r="D8" t="s">
        <v>251</v>
      </c>
      <c r="E8">
        <f t="shared" ref="E8:E71" si="0">COUNTIF(B$8:B$347,B8)</f>
        <v>1</v>
      </c>
      <c r="F8">
        <v>1</v>
      </c>
    </row>
    <row r="9" spans="1:8" x14ac:dyDescent="0.2">
      <c r="B9" s="1" t="s">
        <v>20</v>
      </c>
      <c r="C9">
        <v>2008</v>
      </c>
      <c r="D9" t="s">
        <v>251</v>
      </c>
      <c r="E9">
        <f t="shared" si="0"/>
        <v>1</v>
      </c>
      <c r="F9">
        <v>1</v>
      </c>
    </row>
    <row r="10" spans="1:8" x14ac:dyDescent="0.2">
      <c r="B10" s="1" t="s">
        <v>94</v>
      </c>
      <c r="C10">
        <v>2006</v>
      </c>
      <c r="D10" t="s">
        <v>251</v>
      </c>
      <c r="E10">
        <f t="shared" si="0"/>
        <v>2</v>
      </c>
      <c r="F10">
        <v>1</v>
      </c>
    </row>
    <row r="11" spans="1:8" x14ac:dyDescent="0.2">
      <c r="B11" t="s">
        <v>94</v>
      </c>
      <c r="C11">
        <v>2011</v>
      </c>
      <c r="D11" t="s">
        <v>268</v>
      </c>
      <c r="E11">
        <f t="shared" si="0"/>
        <v>2</v>
      </c>
      <c r="F11">
        <v>0</v>
      </c>
    </row>
    <row r="12" spans="1:8" x14ac:dyDescent="0.2">
      <c r="B12" s="1" t="s">
        <v>21</v>
      </c>
      <c r="C12">
        <v>2000</v>
      </c>
      <c r="D12" t="s">
        <v>251</v>
      </c>
      <c r="E12">
        <f t="shared" si="0"/>
        <v>3</v>
      </c>
      <c r="F12">
        <v>1</v>
      </c>
    </row>
    <row r="13" spans="1:8" x14ac:dyDescent="0.2">
      <c r="B13" s="1" t="s">
        <v>21</v>
      </c>
      <c r="C13">
        <v>2005</v>
      </c>
      <c r="D13" t="s">
        <v>251</v>
      </c>
      <c r="E13">
        <f t="shared" si="0"/>
        <v>3</v>
      </c>
      <c r="F13">
        <v>0</v>
      </c>
    </row>
    <row r="14" spans="1:8" x14ac:dyDescent="0.2">
      <c r="B14" s="1" t="s">
        <v>21</v>
      </c>
      <c r="C14">
        <v>2010</v>
      </c>
      <c r="D14" t="s">
        <v>251</v>
      </c>
      <c r="E14">
        <f t="shared" si="0"/>
        <v>3</v>
      </c>
      <c r="F14">
        <v>0</v>
      </c>
      <c r="H14" t="s">
        <v>290</v>
      </c>
    </row>
    <row r="15" spans="1:8" x14ac:dyDescent="0.2">
      <c r="B15" s="1" t="s">
        <v>22</v>
      </c>
      <c r="C15">
        <v>2006</v>
      </c>
      <c r="D15" t="s">
        <v>268</v>
      </c>
      <c r="E15">
        <f t="shared" si="0"/>
        <v>1</v>
      </c>
      <c r="F15">
        <v>1</v>
      </c>
    </row>
    <row r="16" spans="1:8" x14ac:dyDescent="0.2">
      <c r="B16" s="1" t="s">
        <v>86</v>
      </c>
      <c r="C16">
        <v>1994</v>
      </c>
      <c r="D16" t="s">
        <v>251</v>
      </c>
      <c r="E16">
        <f t="shared" si="0"/>
        <v>8</v>
      </c>
      <c r="F16">
        <v>1</v>
      </c>
    </row>
    <row r="17" spans="2:6" x14ac:dyDescent="0.2">
      <c r="B17" s="30" t="s">
        <v>86</v>
      </c>
      <c r="C17">
        <v>1997</v>
      </c>
      <c r="D17" t="s">
        <v>251</v>
      </c>
      <c r="E17">
        <f t="shared" si="0"/>
        <v>8</v>
      </c>
      <c r="F17">
        <v>0</v>
      </c>
    </row>
    <row r="18" spans="2:6" x14ac:dyDescent="0.2">
      <c r="B18" s="30" t="s">
        <v>86</v>
      </c>
      <c r="C18">
        <v>1999</v>
      </c>
      <c r="D18" t="s">
        <v>251</v>
      </c>
      <c r="E18">
        <f t="shared" si="0"/>
        <v>8</v>
      </c>
      <c r="F18">
        <v>0</v>
      </c>
    </row>
    <row r="19" spans="2:6" x14ac:dyDescent="0.2">
      <c r="B19" s="1" t="s">
        <v>86</v>
      </c>
      <c r="C19">
        <v>2000</v>
      </c>
      <c r="D19" t="s">
        <v>251</v>
      </c>
      <c r="E19">
        <f t="shared" si="0"/>
        <v>8</v>
      </c>
      <c r="F19">
        <v>0</v>
      </c>
    </row>
    <row r="20" spans="2:6" x14ac:dyDescent="0.2">
      <c r="B20" s="1" t="s">
        <v>86</v>
      </c>
      <c r="C20">
        <v>2001</v>
      </c>
      <c r="D20" t="s">
        <v>251</v>
      </c>
      <c r="E20">
        <f t="shared" si="0"/>
        <v>8</v>
      </c>
      <c r="F20">
        <v>0</v>
      </c>
    </row>
    <row r="21" spans="2:6" x14ac:dyDescent="0.2">
      <c r="B21" s="1" t="s">
        <v>86</v>
      </c>
      <c r="C21">
        <v>2004</v>
      </c>
      <c r="D21" t="s">
        <v>251</v>
      </c>
      <c r="E21">
        <f t="shared" si="0"/>
        <v>8</v>
      </c>
      <c r="F21">
        <v>0</v>
      </c>
    </row>
    <row r="22" spans="2:6" x14ac:dyDescent="0.2">
      <c r="B22" s="1" t="s">
        <v>86</v>
      </c>
      <c r="C22">
        <v>2007</v>
      </c>
      <c r="D22" t="s">
        <v>251</v>
      </c>
      <c r="E22">
        <f t="shared" si="0"/>
        <v>8</v>
      </c>
      <c r="F22">
        <v>0</v>
      </c>
    </row>
    <row r="23" spans="2:6" x14ac:dyDescent="0.2">
      <c r="B23" t="s">
        <v>86</v>
      </c>
      <c r="C23">
        <v>2011</v>
      </c>
      <c r="D23" t="s">
        <v>251</v>
      </c>
      <c r="E23">
        <f t="shared" si="0"/>
        <v>8</v>
      </c>
      <c r="F23">
        <v>0</v>
      </c>
    </row>
    <row r="24" spans="2:6" x14ac:dyDescent="0.2">
      <c r="B24" s="1" t="s">
        <v>96</v>
      </c>
      <c r="C24">
        <v>1996</v>
      </c>
      <c r="D24" t="s">
        <v>251</v>
      </c>
      <c r="E24">
        <f t="shared" si="0"/>
        <v>4</v>
      </c>
      <c r="F24">
        <v>1</v>
      </c>
    </row>
    <row r="25" spans="2:6" x14ac:dyDescent="0.2">
      <c r="B25" s="1" t="s">
        <v>96</v>
      </c>
      <c r="C25">
        <v>2001</v>
      </c>
      <c r="D25" t="s">
        <v>269</v>
      </c>
      <c r="E25">
        <f t="shared" si="0"/>
        <v>4</v>
      </c>
      <c r="F25">
        <v>0</v>
      </c>
    </row>
    <row r="26" spans="2:6" x14ac:dyDescent="0.2">
      <c r="B26" s="1" t="s">
        <v>96</v>
      </c>
      <c r="C26">
        <v>2006</v>
      </c>
      <c r="D26" t="s">
        <v>251</v>
      </c>
      <c r="E26">
        <f t="shared" si="0"/>
        <v>4</v>
      </c>
      <c r="F26">
        <v>0</v>
      </c>
    </row>
    <row r="27" spans="2:6" x14ac:dyDescent="0.2">
      <c r="B27" t="s">
        <v>96</v>
      </c>
      <c r="C27">
        <v>2012</v>
      </c>
      <c r="D27" t="s">
        <v>251</v>
      </c>
      <c r="E27">
        <f t="shared" si="0"/>
        <v>4</v>
      </c>
      <c r="F27">
        <v>0</v>
      </c>
    </row>
    <row r="28" spans="2:6" x14ac:dyDescent="0.2">
      <c r="B28" s="1" t="s">
        <v>51</v>
      </c>
      <c r="C28">
        <v>1989</v>
      </c>
      <c r="D28" t="s">
        <v>251</v>
      </c>
      <c r="E28">
        <f t="shared" si="0"/>
        <v>5</v>
      </c>
      <c r="F28">
        <v>1</v>
      </c>
    </row>
    <row r="29" spans="2:6" x14ac:dyDescent="0.2">
      <c r="B29" s="1" t="s">
        <v>51</v>
      </c>
      <c r="C29">
        <v>1994</v>
      </c>
      <c r="D29" t="s">
        <v>251</v>
      </c>
      <c r="E29">
        <f t="shared" si="0"/>
        <v>5</v>
      </c>
      <c r="F29">
        <v>0</v>
      </c>
    </row>
    <row r="30" spans="2:6" x14ac:dyDescent="0.2">
      <c r="B30" s="1" t="s">
        <v>51</v>
      </c>
      <c r="C30">
        <v>1998</v>
      </c>
      <c r="D30" t="s">
        <v>251</v>
      </c>
      <c r="E30">
        <f t="shared" si="0"/>
        <v>5</v>
      </c>
      <c r="F30">
        <v>0</v>
      </c>
    </row>
    <row r="31" spans="2:6" x14ac:dyDescent="0.2">
      <c r="B31" s="1" t="s">
        <v>51</v>
      </c>
      <c r="C31">
        <v>2003</v>
      </c>
      <c r="D31" t="s">
        <v>251</v>
      </c>
      <c r="E31">
        <f t="shared" si="0"/>
        <v>5</v>
      </c>
      <c r="F31">
        <v>0</v>
      </c>
    </row>
    <row r="32" spans="2:6" x14ac:dyDescent="0.2">
      <c r="B32" s="1" t="s">
        <v>51</v>
      </c>
      <c r="C32">
        <v>2008</v>
      </c>
      <c r="D32" t="s">
        <v>251</v>
      </c>
      <c r="E32">
        <f t="shared" si="0"/>
        <v>5</v>
      </c>
      <c r="F32">
        <v>0</v>
      </c>
    </row>
    <row r="33" spans="2:6" x14ac:dyDescent="0.2">
      <c r="B33" s="1" t="s">
        <v>97</v>
      </c>
      <c r="C33">
        <v>1988</v>
      </c>
      <c r="D33" t="s">
        <v>251</v>
      </c>
      <c r="E33">
        <f t="shared" si="0"/>
        <v>1</v>
      </c>
      <c r="F33">
        <v>1</v>
      </c>
    </row>
    <row r="34" spans="2:6" x14ac:dyDescent="0.2">
      <c r="B34" s="1" t="s">
        <v>52</v>
      </c>
      <c r="C34">
        <v>1986</v>
      </c>
      <c r="D34" t="s">
        <v>251</v>
      </c>
      <c r="E34">
        <f t="shared" si="0"/>
        <v>3</v>
      </c>
      <c r="F34">
        <v>1</v>
      </c>
    </row>
    <row r="35" spans="2:6" x14ac:dyDescent="0.2">
      <c r="B35" s="1" t="s">
        <v>52</v>
      </c>
      <c r="C35">
        <v>1991</v>
      </c>
      <c r="D35" t="s">
        <v>251</v>
      </c>
      <c r="E35">
        <f t="shared" si="0"/>
        <v>3</v>
      </c>
      <c r="F35">
        <v>0</v>
      </c>
    </row>
    <row r="36" spans="2:6" x14ac:dyDescent="0.2">
      <c r="B36" s="1" t="s">
        <v>52</v>
      </c>
      <c r="C36">
        <v>1996</v>
      </c>
      <c r="D36" t="s">
        <v>251</v>
      </c>
      <c r="E36">
        <f t="shared" si="0"/>
        <v>3</v>
      </c>
      <c r="F36">
        <v>0</v>
      </c>
    </row>
    <row r="37" spans="2:6" x14ac:dyDescent="0.2">
      <c r="B37" s="1" t="s">
        <v>98</v>
      </c>
      <c r="C37">
        <v>1993</v>
      </c>
      <c r="D37" t="s">
        <v>251</v>
      </c>
      <c r="E37">
        <f t="shared" si="0"/>
        <v>5</v>
      </c>
      <c r="F37">
        <v>1</v>
      </c>
    </row>
    <row r="38" spans="2:6" x14ac:dyDescent="0.2">
      <c r="B38" s="30" t="s">
        <v>98</v>
      </c>
      <c r="C38">
        <v>1999</v>
      </c>
      <c r="D38" t="s">
        <v>254</v>
      </c>
      <c r="E38">
        <f t="shared" si="0"/>
        <v>5</v>
      </c>
      <c r="F38">
        <v>0</v>
      </c>
    </row>
    <row r="39" spans="2:6" x14ac:dyDescent="0.2">
      <c r="B39" s="1" t="s">
        <v>98</v>
      </c>
      <c r="C39">
        <v>2003</v>
      </c>
      <c r="D39" t="s">
        <v>254</v>
      </c>
      <c r="E39">
        <f t="shared" si="0"/>
        <v>5</v>
      </c>
      <c r="F39">
        <v>0</v>
      </c>
    </row>
    <row r="40" spans="2:6" x14ac:dyDescent="0.2">
      <c r="B40" s="1" t="s">
        <v>98</v>
      </c>
      <c r="C40">
        <v>2010</v>
      </c>
      <c r="D40" t="s">
        <v>254</v>
      </c>
      <c r="E40">
        <f t="shared" si="0"/>
        <v>5</v>
      </c>
      <c r="F40">
        <v>0</v>
      </c>
    </row>
    <row r="41" spans="2:6" x14ac:dyDescent="0.2">
      <c r="B41" s="97" t="s">
        <v>98</v>
      </c>
      <c r="C41" s="97">
        <v>2014</v>
      </c>
      <c r="D41" s="96" t="s">
        <v>295</v>
      </c>
      <c r="E41">
        <f t="shared" si="0"/>
        <v>5</v>
      </c>
      <c r="F41" s="97">
        <v>0</v>
      </c>
    </row>
    <row r="42" spans="2:6" x14ac:dyDescent="0.2">
      <c r="B42" s="1" t="s">
        <v>99</v>
      </c>
      <c r="C42">
        <v>1987</v>
      </c>
      <c r="D42" t="s">
        <v>254</v>
      </c>
      <c r="E42">
        <f t="shared" si="0"/>
        <v>3</v>
      </c>
      <c r="F42">
        <v>1</v>
      </c>
    </row>
    <row r="43" spans="2:6" x14ac:dyDescent="0.2">
      <c r="B43" s="1" t="s">
        <v>99</v>
      </c>
      <c r="C43">
        <v>2010</v>
      </c>
      <c r="D43" t="s">
        <v>251</v>
      </c>
      <c r="E43">
        <f t="shared" si="0"/>
        <v>3</v>
      </c>
      <c r="F43">
        <v>0</v>
      </c>
    </row>
    <row r="44" spans="2:6" x14ac:dyDescent="0.2">
      <c r="B44" t="s">
        <v>99</v>
      </c>
      <c r="C44">
        <v>2012</v>
      </c>
      <c r="D44" t="s">
        <v>254</v>
      </c>
      <c r="E44">
        <f t="shared" si="0"/>
        <v>3</v>
      </c>
      <c r="F44">
        <v>0</v>
      </c>
    </row>
    <row r="45" spans="2:6" x14ac:dyDescent="0.2">
      <c r="B45" s="1" t="s">
        <v>5</v>
      </c>
      <c r="C45">
        <v>1998</v>
      </c>
      <c r="D45" t="s">
        <v>254</v>
      </c>
      <c r="E45">
        <f t="shared" si="0"/>
        <v>5</v>
      </c>
      <c r="F45">
        <v>1</v>
      </c>
    </row>
    <row r="46" spans="2:6" x14ac:dyDescent="0.2">
      <c r="B46" s="1" t="s">
        <v>5</v>
      </c>
      <c r="C46">
        <v>2000</v>
      </c>
      <c r="D46" t="s">
        <v>254</v>
      </c>
      <c r="E46">
        <f t="shared" si="0"/>
        <v>5</v>
      </c>
      <c r="F46">
        <v>0</v>
      </c>
    </row>
    <row r="47" spans="2:6" x14ac:dyDescent="0.2">
      <c r="B47" s="1" t="s">
        <v>5</v>
      </c>
      <c r="C47">
        <v>2005</v>
      </c>
      <c r="D47" t="s">
        <v>254</v>
      </c>
      <c r="E47">
        <f t="shared" si="0"/>
        <v>5</v>
      </c>
      <c r="F47">
        <v>0</v>
      </c>
    </row>
    <row r="48" spans="2:6" x14ac:dyDescent="0.2">
      <c r="B48" s="1" t="s">
        <v>5</v>
      </c>
      <c r="C48">
        <v>2010</v>
      </c>
      <c r="D48" t="s">
        <v>254</v>
      </c>
      <c r="E48">
        <f t="shared" si="0"/>
        <v>5</v>
      </c>
      <c r="F48">
        <v>0</v>
      </c>
    </row>
    <row r="49" spans="2:6" x14ac:dyDescent="0.2">
      <c r="B49" s="97" t="s">
        <v>5</v>
      </c>
      <c r="C49" s="97">
        <v>2014</v>
      </c>
      <c r="D49" s="96" t="s">
        <v>486</v>
      </c>
      <c r="E49">
        <f t="shared" si="0"/>
        <v>5</v>
      </c>
      <c r="F49" s="97">
        <v>0</v>
      </c>
    </row>
    <row r="50" spans="2:6" x14ac:dyDescent="0.2">
      <c r="B50" s="1" t="s">
        <v>100</v>
      </c>
      <c r="C50">
        <v>1991</v>
      </c>
      <c r="D50" t="s">
        <v>254</v>
      </c>
      <c r="E50">
        <f t="shared" si="0"/>
        <v>4</v>
      </c>
      <c r="F50">
        <v>1</v>
      </c>
    </row>
    <row r="51" spans="2:6" x14ac:dyDescent="0.2">
      <c r="B51" s="1" t="s">
        <v>100</v>
      </c>
      <c r="C51">
        <v>1998</v>
      </c>
      <c r="D51" t="s">
        <v>254</v>
      </c>
      <c r="E51">
        <f t="shared" si="0"/>
        <v>4</v>
      </c>
      <c r="F51">
        <v>0</v>
      </c>
    </row>
    <row r="52" spans="2:6" x14ac:dyDescent="0.2">
      <c r="B52" s="1" t="s">
        <v>100</v>
      </c>
      <c r="C52">
        <v>2004</v>
      </c>
      <c r="D52" t="s">
        <v>272</v>
      </c>
      <c r="E52">
        <f t="shared" si="0"/>
        <v>4</v>
      </c>
      <c r="F52">
        <v>0</v>
      </c>
    </row>
    <row r="53" spans="2:6" x14ac:dyDescent="0.2">
      <c r="B53" t="s">
        <v>100</v>
      </c>
      <c r="C53">
        <v>2011</v>
      </c>
      <c r="D53" t="s">
        <v>254</v>
      </c>
      <c r="E53">
        <f t="shared" si="0"/>
        <v>4</v>
      </c>
      <c r="F53">
        <v>0</v>
      </c>
    </row>
    <row r="54" spans="2:6" x14ac:dyDescent="0.2">
      <c r="B54" s="1" t="s">
        <v>101</v>
      </c>
      <c r="C54">
        <v>2005</v>
      </c>
      <c r="D54" t="s">
        <v>254</v>
      </c>
      <c r="E54">
        <f t="shared" si="0"/>
        <v>1</v>
      </c>
      <c r="F54">
        <v>1</v>
      </c>
    </row>
    <row r="55" spans="2:6" x14ac:dyDescent="0.2">
      <c r="B55" s="1" t="s">
        <v>286</v>
      </c>
      <c r="C55">
        <v>1994</v>
      </c>
      <c r="D55" t="s">
        <v>254</v>
      </c>
      <c r="E55">
        <f t="shared" si="0"/>
        <v>1</v>
      </c>
      <c r="F55">
        <v>1</v>
      </c>
    </row>
    <row r="56" spans="2:6" x14ac:dyDescent="0.2">
      <c r="B56" s="30" t="s">
        <v>103</v>
      </c>
      <c r="C56">
        <v>1997</v>
      </c>
      <c r="D56" t="s">
        <v>254</v>
      </c>
      <c r="E56">
        <f t="shared" si="0"/>
        <v>2</v>
      </c>
      <c r="F56">
        <v>1</v>
      </c>
    </row>
    <row r="57" spans="2:6" x14ac:dyDescent="0.2">
      <c r="B57" s="1" t="s">
        <v>103</v>
      </c>
      <c r="C57">
        <v>2004</v>
      </c>
      <c r="D57" t="s">
        <v>254</v>
      </c>
      <c r="E57">
        <f t="shared" si="0"/>
        <v>2</v>
      </c>
      <c r="F57">
        <v>0</v>
      </c>
    </row>
    <row r="58" spans="2:6" x14ac:dyDescent="0.2">
      <c r="B58" s="1" t="s">
        <v>54</v>
      </c>
      <c r="C58">
        <v>1986</v>
      </c>
      <c r="D58" t="s">
        <v>254</v>
      </c>
      <c r="E58">
        <f t="shared" si="0"/>
        <v>6</v>
      </c>
      <c r="F58">
        <v>1</v>
      </c>
    </row>
    <row r="59" spans="2:6" x14ac:dyDescent="0.2">
      <c r="B59" s="1" t="s">
        <v>54</v>
      </c>
      <c r="C59">
        <v>1990</v>
      </c>
      <c r="D59" t="s">
        <v>254</v>
      </c>
      <c r="E59">
        <f t="shared" si="0"/>
        <v>6</v>
      </c>
      <c r="F59">
        <v>0</v>
      </c>
    </row>
    <row r="60" spans="2:6" x14ac:dyDescent="0.2">
      <c r="B60" s="1" t="s">
        <v>54</v>
      </c>
      <c r="C60">
        <v>1995</v>
      </c>
      <c r="D60" t="s">
        <v>254</v>
      </c>
      <c r="E60">
        <f t="shared" si="0"/>
        <v>6</v>
      </c>
      <c r="F60">
        <v>0</v>
      </c>
    </row>
    <row r="61" spans="2:6" x14ac:dyDescent="0.2">
      <c r="B61" s="1" t="s">
        <v>54</v>
      </c>
      <c r="C61">
        <v>2000</v>
      </c>
      <c r="D61" t="s">
        <v>254</v>
      </c>
      <c r="E61">
        <f t="shared" si="0"/>
        <v>6</v>
      </c>
      <c r="F61">
        <v>0</v>
      </c>
    </row>
    <row r="62" spans="2:6" x14ac:dyDescent="0.2">
      <c r="B62" s="1" t="s">
        <v>54</v>
      </c>
      <c r="C62">
        <v>2005</v>
      </c>
      <c r="D62" t="s">
        <v>254</v>
      </c>
      <c r="E62">
        <f t="shared" si="0"/>
        <v>6</v>
      </c>
      <c r="F62">
        <v>0</v>
      </c>
    </row>
    <row r="63" spans="2:6" x14ac:dyDescent="0.2">
      <c r="B63" s="1" t="s">
        <v>54</v>
      </c>
      <c r="C63">
        <v>2010</v>
      </c>
      <c r="D63" t="s">
        <v>252</v>
      </c>
      <c r="E63">
        <f t="shared" si="0"/>
        <v>6</v>
      </c>
      <c r="F63">
        <v>0</v>
      </c>
    </row>
    <row r="64" spans="2:6" x14ac:dyDescent="0.2">
      <c r="B64" s="1" t="s">
        <v>104</v>
      </c>
      <c r="C64">
        <v>1996</v>
      </c>
      <c r="D64" t="s">
        <v>254</v>
      </c>
      <c r="E64">
        <f t="shared" si="0"/>
        <v>2</v>
      </c>
      <c r="F64">
        <v>1</v>
      </c>
    </row>
    <row r="65" spans="2:6" x14ac:dyDescent="0.2">
      <c r="B65" t="s">
        <v>104</v>
      </c>
      <c r="C65">
        <v>2012</v>
      </c>
      <c r="D65" t="s">
        <v>252</v>
      </c>
      <c r="E65">
        <f t="shared" si="0"/>
        <v>2</v>
      </c>
      <c r="F65">
        <v>1</v>
      </c>
    </row>
    <row r="66" spans="2:6" x14ac:dyDescent="0.2">
      <c r="B66" s="1" t="s">
        <v>285</v>
      </c>
      <c r="C66">
        <v>2005</v>
      </c>
      <c r="D66" t="s">
        <v>257</v>
      </c>
      <c r="E66">
        <f t="shared" si="0"/>
        <v>4</v>
      </c>
      <c r="F66">
        <v>1</v>
      </c>
    </row>
    <row r="67" spans="2:6" x14ac:dyDescent="0.2">
      <c r="B67" s="1" t="s">
        <v>285</v>
      </c>
      <c r="C67">
        <v>2009</v>
      </c>
      <c r="D67" t="s">
        <v>252</v>
      </c>
      <c r="E67">
        <f t="shared" si="0"/>
        <v>4</v>
      </c>
      <c r="F67">
        <v>1</v>
      </c>
    </row>
    <row r="68" spans="2:6" x14ac:dyDescent="0.2">
      <c r="B68" s="1" t="s">
        <v>285</v>
      </c>
      <c r="C68">
        <v>2011</v>
      </c>
      <c r="D68" t="s">
        <v>252</v>
      </c>
      <c r="E68">
        <f t="shared" si="0"/>
        <v>4</v>
      </c>
      <c r="F68">
        <v>0</v>
      </c>
    </row>
    <row r="69" spans="2:6" x14ac:dyDescent="0.2">
      <c r="B69" s="1" t="s">
        <v>285</v>
      </c>
      <c r="C69">
        <v>2013</v>
      </c>
      <c r="D69" t="s">
        <v>254</v>
      </c>
      <c r="E69">
        <f t="shared" si="0"/>
        <v>4</v>
      </c>
      <c r="F69">
        <v>0</v>
      </c>
    </row>
    <row r="70" spans="2:6" x14ac:dyDescent="0.2">
      <c r="B70" s="1" t="s">
        <v>457</v>
      </c>
      <c r="C70">
        <v>2007</v>
      </c>
      <c r="D70" t="s">
        <v>252</v>
      </c>
      <c r="E70">
        <f t="shared" si="0"/>
        <v>1</v>
      </c>
      <c r="F70">
        <v>1</v>
      </c>
    </row>
    <row r="71" spans="2:6" x14ac:dyDescent="0.2">
      <c r="B71" s="1" t="s">
        <v>246</v>
      </c>
      <c r="C71">
        <v>1994</v>
      </c>
      <c r="D71" t="s">
        <v>252</v>
      </c>
      <c r="E71">
        <f t="shared" si="0"/>
        <v>4</v>
      </c>
      <c r="F71">
        <v>1</v>
      </c>
    </row>
    <row r="72" spans="2:6" x14ac:dyDescent="0.2">
      <c r="B72" s="1" t="s">
        <v>246</v>
      </c>
      <c r="C72">
        <v>1998</v>
      </c>
      <c r="D72" t="s">
        <v>252</v>
      </c>
      <c r="E72">
        <f t="shared" ref="E72:E135" si="1">COUNTIF(B$8:B$347,B72)</f>
        <v>4</v>
      </c>
      <c r="F72">
        <v>0</v>
      </c>
    </row>
    <row r="73" spans="2:6" x14ac:dyDescent="0.2">
      <c r="B73" s="1" t="s">
        <v>246</v>
      </c>
      <c r="C73">
        <v>2005</v>
      </c>
      <c r="D73" t="s">
        <v>252</v>
      </c>
      <c r="E73">
        <f t="shared" si="1"/>
        <v>4</v>
      </c>
      <c r="F73">
        <v>0</v>
      </c>
    </row>
    <row r="74" spans="2:6" x14ac:dyDescent="0.2">
      <c r="B74" t="s">
        <v>246</v>
      </c>
      <c r="C74">
        <v>2012</v>
      </c>
      <c r="D74" t="s">
        <v>252</v>
      </c>
      <c r="E74">
        <f t="shared" si="1"/>
        <v>4</v>
      </c>
      <c r="F74">
        <v>0</v>
      </c>
    </row>
    <row r="75" spans="2:6" x14ac:dyDescent="0.2">
      <c r="B75" s="1" t="s">
        <v>247</v>
      </c>
      <c r="C75">
        <v>1986</v>
      </c>
      <c r="D75" t="s">
        <v>252</v>
      </c>
      <c r="E75">
        <f t="shared" si="1"/>
        <v>10</v>
      </c>
      <c r="F75">
        <v>1</v>
      </c>
    </row>
    <row r="76" spans="2:6" x14ac:dyDescent="0.2">
      <c r="B76" s="1" t="s">
        <v>247</v>
      </c>
      <c r="C76">
        <v>1986</v>
      </c>
      <c r="D76" t="s">
        <v>262</v>
      </c>
      <c r="E76">
        <f t="shared" si="1"/>
        <v>10</v>
      </c>
      <c r="F76">
        <v>0</v>
      </c>
    </row>
    <row r="77" spans="2:6" x14ac:dyDescent="0.2">
      <c r="B77" s="1" t="s">
        <v>247</v>
      </c>
      <c r="C77">
        <v>1991</v>
      </c>
      <c r="D77" t="s">
        <v>252</v>
      </c>
      <c r="E77">
        <f t="shared" si="1"/>
        <v>10</v>
      </c>
      <c r="F77">
        <v>0</v>
      </c>
    </row>
    <row r="78" spans="2:6" x14ac:dyDescent="0.2">
      <c r="B78" s="1" t="s">
        <v>247</v>
      </c>
      <c r="C78">
        <v>1996</v>
      </c>
      <c r="D78" t="s">
        <v>252</v>
      </c>
      <c r="E78">
        <f t="shared" si="1"/>
        <v>10</v>
      </c>
      <c r="F78">
        <v>0</v>
      </c>
    </row>
    <row r="79" spans="2:6" x14ac:dyDescent="0.2">
      <c r="B79" s="30" t="s">
        <v>247</v>
      </c>
      <c r="C79">
        <v>1999</v>
      </c>
      <c r="D79" t="s">
        <v>252</v>
      </c>
      <c r="E79">
        <f t="shared" si="1"/>
        <v>10</v>
      </c>
      <c r="F79">
        <v>0</v>
      </c>
    </row>
    <row r="80" spans="2:6" x14ac:dyDescent="0.2">
      <c r="B80" s="1" t="s">
        <v>247</v>
      </c>
      <c r="C80">
        <v>2002</v>
      </c>
      <c r="D80" t="s">
        <v>252</v>
      </c>
      <c r="E80">
        <f t="shared" si="1"/>
        <v>10</v>
      </c>
      <c r="F80">
        <v>0</v>
      </c>
    </row>
    <row r="81" spans="2:6" x14ac:dyDescent="0.2">
      <c r="B81" s="1" t="s">
        <v>247</v>
      </c>
      <c r="C81">
        <v>2007</v>
      </c>
      <c r="D81" t="s">
        <v>252</v>
      </c>
      <c r="E81">
        <f t="shared" si="1"/>
        <v>10</v>
      </c>
      <c r="F81">
        <v>0</v>
      </c>
    </row>
    <row r="82" spans="2:6" x14ac:dyDescent="0.2">
      <c r="B82" s="1" t="s">
        <v>247</v>
      </c>
      <c r="C82">
        <v>2007</v>
      </c>
      <c r="D82" t="s">
        <v>252</v>
      </c>
      <c r="E82">
        <f t="shared" si="1"/>
        <v>10</v>
      </c>
      <c r="F82">
        <v>0</v>
      </c>
    </row>
    <row r="83" spans="2:6" x14ac:dyDescent="0.2">
      <c r="B83" t="s">
        <v>247</v>
      </c>
      <c r="C83">
        <v>2013</v>
      </c>
      <c r="D83" t="s">
        <v>253</v>
      </c>
      <c r="E83">
        <f t="shared" si="1"/>
        <v>10</v>
      </c>
      <c r="F83">
        <v>0</v>
      </c>
    </row>
    <row r="84" spans="2:6" x14ac:dyDescent="0.2">
      <c r="B84" s="97" t="s">
        <v>247</v>
      </c>
      <c r="C84" s="97">
        <v>2013</v>
      </c>
      <c r="D84" s="97" t="s">
        <v>276</v>
      </c>
      <c r="E84">
        <f t="shared" si="1"/>
        <v>10</v>
      </c>
      <c r="F84" s="97">
        <v>0</v>
      </c>
    </row>
    <row r="85" spans="2:6" x14ac:dyDescent="0.2">
      <c r="B85" s="1" t="s">
        <v>57</v>
      </c>
      <c r="C85">
        <v>1987</v>
      </c>
      <c r="D85" t="s">
        <v>257</v>
      </c>
      <c r="E85">
        <f t="shared" si="1"/>
        <v>1</v>
      </c>
      <c r="F85">
        <v>1</v>
      </c>
    </row>
    <row r="86" spans="2:6" x14ac:dyDescent="0.2">
      <c r="B86" s="1" t="s">
        <v>77</v>
      </c>
      <c r="C86">
        <v>1988</v>
      </c>
      <c r="D86" t="s">
        <v>252</v>
      </c>
      <c r="E86">
        <f t="shared" si="1"/>
        <v>13</v>
      </c>
      <c r="F86">
        <v>1</v>
      </c>
    </row>
    <row r="87" spans="2:6" x14ac:dyDescent="0.2">
      <c r="B87" s="1" t="s">
        <v>77</v>
      </c>
      <c r="C87">
        <v>1992</v>
      </c>
      <c r="D87" t="s">
        <v>257</v>
      </c>
      <c r="E87">
        <f t="shared" si="1"/>
        <v>13</v>
      </c>
      <c r="F87">
        <v>0</v>
      </c>
    </row>
    <row r="88" spans="2:6" x14ac:dyDescent="0.2">
      <c r="B88" s="1" t="s">
        <v>77</v>
      </c>
      <c r="C88">
        <v>1995</v>
      </c>
      <c r="D88" t="s">
        <v>252</v>
      </c>
      <c r="E88">
        <f t="shared" si="1"/>
        <v>13</v>
      </c>
      <c r="F88">
        <v>0</v>
      </c>
    </row>
    <row r="89" spans="2:6" x14ac:dyDescent="0.2">
      <c r="B89" s="30" t="s">
        <v>77</v>
      </c>
      <c r="C89">
        <v>1997</v>
      </c>
      <c r="D89" t="s">
        <v>252</v>
      </c>
      <c r="E89">
        <f t="shared" si="1"/>
        <v>13</v>
      </c>
      <c r="F89">
        <v>0</v>
      </c>
    </row>
    <row r="90" spans="2:6" x14ac:dyDescent="0.2">
      <c r="B90" s="30" t="s">
        <v>77</v>
      </c>
      <c r="C90">
        <v>1997</v>
      </c>
      <c r="D90" t="s">
        <v>252</v>
      </c>
      <c r="E90">
        <f t="shared" si="1"/>
        <v>13</v>
      </c>
      <c r="F90">
        <v>0</v>
      </c>
    </row>
    <row r="91" spans="2:6" x14ac:dyDescent="0.2">
      <c r="B91" s="1" t="s">
        <v>77</v>
      </c>
      <c r="C91">
        <v>1998</v>
      </c>
      <c r="D91" t="s">
        <v>252</v>
      </c>
      <c r="E91">
        <f t="shared" si="1"/>
        <v>13</v>
      </c>
      <c r="F91">
        <v>0</v>
      </c>
    </row>
    <row r="92" spans="2:6" x14ac:dyDescent="0.2">
      <c r="B92" s="1" t="s">
        <v>77</v>
      </c>
      <c r="C92">
        <v>2000</v>
      </c>
      <c r="D92" t="s">
        <v>262</v>
      </c>
      <c r="E92">
        <f t="shared" si="1"/>
        <v>13</v>
      </c>
      <c r="F92">
        <v>0</v>
      </c>
    </row>
    <row r="93" spans="2:6" x14ac:dyDescent="0.2">
      <c r="B93" s="1" t="s">
        <v>77</v>
      </c>
      <c r="C93">
        <v>2002</v>
      </c>
      <c r="D93" t="s">
        <v>252</v>
      </c>
      <c r="E93">
        <f t="shared" si="1"/>
        <v>13</v>
      </c>
      <c r="F93">
        <v>0</v>
      </c>
    </row>
    <row r="94" spans="2:6" x14ac:dyDescent="0.2">
      <c r="B94" s="1" t="s">
        <v>77</v>
      </c>
      <c r="C94">
        <v>2003</v>
      </c>
      <c r="D94" t="s">
        <v>252</v>
      </c>
      <c r="E94">
        <f t="shared" si="1"/>
        <v>13</v>
      </c>
      <c r="F94">
        <v>0</v>
      </c>
    </row>
    <row r="95" spans="2:6" x14ac:dyDescent="0.2">
      <c r="B95" s="1" t="s">
        <v>77</v>
      </c>
      <c r="C95">
        <v>2004</v>
      </c>
      <c r="D95" t="s">
        <v>252</v>
      </c>
      <c r="E95">
        <f t="shared" si="1"/>
        <v>13</v>
      </c>
      <c r="F95">
        <v>0</v>
      </c>
    </row>
    <row r="96" spans="2:6" x14ac:dyDescent="0.2">
      <c r="B96" s="1" t="s">
        <v>77</v>
      </c>
      <c r="C96">
        <v>2005</v>
      </c>
      <c r="D96" t="s">
        <v>252</v>
      </c>
      <c r="E96">
        <f t="shared" si="1"/>
        <v>13</v>
      </c>
      <c r="F96">
        <v>0</v>
      </c>
    </row>
    <row r="97" spans="2:6" x14ac:dyDescent="0.2">
      <c r="B97" s="1" t="s">
        <v>77</v>
      </c>
      <c r="C97">
        <v>2008</v>
      </c>
      <c r="D97" t="s">
        <v>252</v>
      </c>
      <c r="E97">
        <f t="shared" si="1"/>
        <v>13</v>
      </c>
      <c r="F97">
        <v>0</v>
      </c>
    </row>
    <row r="98" spans="2:6" x14ac:dyDescent="0.2">
      <c r="B98" s="97" t="s">
        <v>77</v>
      </c>
      <c r="C98" s="97">
        <v>2014</v>
      </c>
      <c r="D98" s="96" t="s">
        <v>260</v>
      </c>
      <c r="E98">
        <f t="shared" si="1"/>
        <v>13</v>
      </c>
      <c r="F98" s="97">
        <v>0</v>
      </c>
    </row>
    <row r="99" spans="2:6" x14ac:dyDescent="0.2">
      <c r="B99" s="1" t="s">
        <v>58</v>
      </c>
      <c r="C99">
        <v>1985</v>
      </c>
      <c r="D99" t="s">
        <v>252</v>
      </c>
      <c r="E99">
        <f t="shared" si="1"/>
        <v>1</v>
      </c>
      <c r="F99">
        <v>1</v>
      </c>
    </row>
    <row r="100" spans="2:6" x14ac:dyDescent="0.2">
      <c r="B100" t="s">
        <v>177</v>
      </c>
      <c r="C100">
        <v>2011</v>
      </c>
      <c r="D100" t="s">
        <v>252</v>
      </c>
      <c r="E100">
        <f t="shared" si="1"/>
        <v>1</v>
      </c>
      <c r="F100">
        <v>1</v>
      </c>
    </row>
    <row r="101" spans="2:6" x14ac:dyDescent="0.2">
      <c r="B101" s="1" t="s">
        <v>283</v>
      </c>
      <c r="C101">
        <v>1995</v>
      </c>
      <c r="D101" t="s">
        <v>252</v>
      </c>
      <c r="E101">
        <f t="shared" si="1"/>
        <v>2</v>
      </c>
      <c r="F101">
        <v>1</v>
      </c>
    </row>
    <row r="102" spans="2:6" x14ac:dyDescent="0.2">
      <c r="B102" s="1" t="s">
        <v>283</v>
      </c>
      <c r="C102">
        <v>2002</v>
      </c>
      <c r="D102" t="s">
        <v>284</v>
      </c>
      <c r="E102">
        <f t="shared" si="1"/>
        <v>2</v>
      </c>
      <c r="F102">
        <v>0</v>
      </c>
    </row>
    <row r="103" spans="2:6" x14ac:dyDescent="0.2">
      <c r="B103" s="1" t="s">
        <v>108</v>
      </c>
      <c r="C103">
        <v>2000</v>
      </c>
      <c r="D103" t="s">
        <v>301</v>
      </c>
      <c r="E103">
        <f t="shared" si="1"/>
        <v>3</v>
      </c>
      <c r="F103">
        <v>1</v>
      </c>
    </row>
    <row r="104" spans="2:6" x14ac:dyDescent="0.2">
      <c r="B104" s="1" t="s">
        <v>108</v>
      </c>
      <c r="C104">
        <v>2005</v>
      </c>
      <c r="D104" t="s">
        <v>257</v>
      </c>
      <c r="E104">
        <f t="shared" si="1"/>
        <v>3</v>
      </c>
      <c r="F104">
        <v>0</v>
      </c>
    </row>
    <row r="105" spans="2:6" x14ac:dyDescent="0.2">
      <c r="B105" t="s">
        <v>108</v>
      </c>
      <c r="C105">
        <v>2011</v>
      </c>
      <c r="D105" t="s">
        <v>280</v>
      </c>
      <c r="E105">
        <f t="shared" si="1"/>
        <v>3</v>
      </c>
      <c r="F105">
        <v>0</v>
      </c>
    </row>
    <row r="106" spans="2:6" x14ac:dyDescent="0.2">
      <c r="B106" s="1" t="s">
        <v>109</v>
      </c>
      <c r="C106">
        <v>2000</v>
      </c>
      <c r="D106" t="s">
        <v>252</v>
      </c>
      <c r="E106">
        <f t="shared" si="1"/>
        <v>2</v>
      </c>
      <c r="F106">
        <v>1</v>
      </c>
    </row>
    <row r="107" spans="2:6" x14ac:dyDescent="0.2">
      <c r="B107" t="s">
        <v>109</v>
      </c>
      <c r="C107">
        <v>2012</v>
      </c>
      <c r="D107" t="s">
        <v>252</v>
      </c>
      <c r="E107">
        <f t="shared" si="1"/>
        <v>2</v>
      </c>
      <c r="F107">
        <v>0</v>
      </c>
    </row>
    <row r="108" spans="2:6" x14ac:dyDescent="0.2">
      <c r="B108" t="s">
        <v>110</v>
      </c>
      <c r="C108">
        <v>2012</v>
      </c>
      <c r="D108" t="s">
        <v>252</v>
      </c>
      <c r="E108">
        <f t="shared" si="1"/>
        <v>2</v>
      </c>
      <c r="F108">
        <v>1</v>
      </c>
    </row>
    <row r="109" spans="2:6" x14ac:dyDescent="0.2">
      <c r="B109" s="97" t="s">
        <v>110</v>
      </c>
      <c r="C109" s="97">
        <v>2013</v>
      </c>
      <c r="D109" s="97" t="s">
        <v>253</v>
      </c>
      <c r="E109">
        <f t="shared" si="1"/>
        <v>2</v>
      </c>
      <c r="F109" s="97">
        <v>0</v>
      </c>
    </row>
    <row r="110" spans="2:6" x14ac:dyDescent="0.2">
      <c r="B110" s="1" t="s">
        <v>111</v>
      </c>
      <c r="C110">
        <v>1988</v>
      </c>
      <c r="D110" t="s">
        <v>252</v>
      </c>
      <c r="E110">
        <f t="shared" si="1"/>
        <v>9</v>
      </c>
      <c r="F110">
        <v>1</v>
      </c>
    </row>
    <row r="111" spans="2:6" x14ac:dyDescent="0.2">
      <c r="B111" s="1" t="s">
        <v>111</v>
      </c>
      <c r="C111">
        <v>1993</v>
      </c>
      <c r="D111" t="s">
        <v>252</v>
      </c>
      <c r="E111">
        <f t="shared" si="1"/>
        <v>9</v>
      </c>
      <c r="F111">
        <v>0</v>
      </c>
    </row>
    <row r="112" spans="2:6" x14ac:dyDescent="0.2">
      <c r="B112" s="1" t="s">
        <v>111</v>
      </c>
      <c r="C112">
        <v>1998</v>
      </c>
      <c r="D112" t="s">
        <v>252</v>
      </c>
      <c r="E112">
        <f t="shared" si="1"/>
        <v>9</v>
      </c>
      <c r="F112">
        <v>0</v>
      </c>
    </row>
    <row r="113" spans="2:6" x14ac:dyDescent="0.2">
      <c r="B113" s="1" t="s">
        <v>111</v>
      </c>
      <c r="C113">
        <v>2002</v>
      </c>
      <c r="D113" t="s">
        <v>252</v>
      </c>
      <c r="E113">
        <f t="shared" si="1"/>
        <v>9</v>
      </c>
      <c r="F113">
        <v>0</v>
      </c>
    </row>
    <row r="114" spans="2:6" x14ac:dyDescent="0.2">
      <c r="B114" s="1" t="s">
        <v>111</v>
      </c>
      <c r="C114">
        <v>2003</v>
      </c>
      <c r="D114" t="s">
        <v>252</v>
      </c>
      <c r="E114">
        <f t="shared" si="1"/>
        <v>9</v>
      </c>
      <c r="F114">
        <v>0</v>
      </c>
    </row>
    <row r="115" spans="2:6" x14ac:dyDescent="0.2">
      <c r="B115" s="1" t="s">
        <v>111</v>
      </c>
      <c r="C115">
        <v>2007</v>
      </c>
      <c r="D115" t="s">
        <v>252</v>
      </c>
      <c r="E115">
        <f t="shared" si="1"/>
        <v>9</v>
      </c>
      <c r="F115">
        <v>0</v>
      </c>
    </row>
    <row r="116" spans="2:6" x14ac:dyDescent="0.2">
      <c r="B116" s="1" t="s">
        <v>111</v>
      </c>
      <c r="C116">
        <v>2008</v>
      </c>
      <c r="D116" t="s">
        <v>252</v>
      </c>
      <c r="E116">
        <f t="shared" si="1"/>
        <v>9</v>
      </c>
      <c r="F116">
        <v>0</v>
      </c>
    </row>
    <row r="117" spans="2:6" x14ac:dyDescent="0.2">
      <c r="B117" t="s">
        <v>111</v>
      </c>
      <c r="C117">
        <v>2011</v>
      </c>
      <c r="D117" t="s">
        <v>252</v>
      </c>
      <c r="E117">
        <f t="shared" si="1"/>
        <v>9</v>
      </c>
      <c r="F117">
        <v>0</v>
      </c>
    </row>
    <row r="118" spans="2:6" x14ac:dyDescent="0.2">
      <c r="B118" s="97" t="s">
        <v>111</v>
      </c>
      <c r="C118" s="97">
        <v>2014</v>
      </c>
      <c r="D118" s="96" t="s">
        <v>486</v>
      </c>
      <c r="E118">
        <f t="shared" si="1"/>
        <v>9</v>
      </c>
      <c r="F118" s="97">
        <v>0</v>
      </c>
    </row>
    <row r="119" spans="2:6" x14ac:dyDescent="0.2">
      <c r="B119" s="1" t="s">
        <v>59</v>
      </c>
      <c r="C119">
        <v>1987</v>
      </c>
      <c r="D119" t="s">
        <v>254</v>
      </c>
      <c r="E119">
        <f t="shared" si="1"/>
        <v>5</v>
      </c>
      <c r="F119">
        <v>1</v>
      </c>
    </row>
    <row r="120" spans="2:6" x14ac:dyDescent="0.2">
      <c r="B120" s="1" t="s">
        <v>59</v>
      </c>
      <c r="C120">
        <v>1995</v>
      </c>
      <c r="D120" t="s">
        <v>284</v>
      </c>
      <c r="E120">
        <f t="shared" si="1"/>
        <v>5</v>
      </c>
      <c r="F120">
        <v>0</v>
      </c>
    </row>
    <row r="121" spans="2:6" x14ac:dyDescent="0.2">
      <c r="B121" s="30" t="s">
        <v>59</v>
      </c>
      <c r="C121">
        <v>1997</v>
      </c>
      <c r="D121" t="s">
        <v>281</v>
      </c>
      <c r="E121">
        <f t="shared" si="1"/>
        <v>5</v>
      </c>
      <c r="F121">
        <v>0</v>
      </c>
    </row>
    <row r="122" spans="2:6" x14ac:dyDescent="0.2">
      <c r="B122" s="30" t="s">
        <v>59</v>
      </c>
      <c r="C122">
        <v>1997</v>
      </c>
      <c r="D122" t="s">
        <v>252</v>
      </c>
      <c r="E122">
        <f t="shared" si="1"/>
        <v>5</v>
      </c>
      <c r="F122">
        <v>0</v>
      </c>
    </row>
    <row r="123" spans="2:6" x14ac:dyDescent="0.2">
      <c r="B123" s="30" t="s">
        <v>59</v>
      </c>
      <c r="C123">
        <v>1999</v>
      </c>
      <c r="D123" t="s">
        <v>252</v>
      </c>
      <c r="E123">
        <f t="shared" si="1"/>
        <v>5</v>
      </c>
      <c r="F123">
        <v>0</v>
      </c>
    </row>
    <row r="124" spans="2:6" x14ac:dyDescent="0.2">
      <c r="B124" s="1" t="s">
        <v>112</v>
      </c>
      <c r="C124">
        <v>1992</v>
      </c>
      <c r="D124" t="s">
        <v>252</v>
      </c>
      <c r="E124">
        <f t="shared" si="1"/>
        <v>4</v>
      </c>
      <c r="F124">
        <v>1</v>
      </c>
    </row>
    <row r="125" spans="2:6" x14ac:dyDescent="0.2">
      <c r="B125" s="30" t="s">
        <v>112</v>
      </c>
      <c r="C125">
        <v>1999</v>
      </c>
      <c r="D125" t="s">
        <v>252</v>
      </c>
      <c r="E125">
        <f t="shared" si="1"/>
        <v>4</v>
      </c>
      <c r="F125">
        <v>0</v>
      </c>
    </row>
    <row r="126" spans="2:6" x14ac:dyDescent="0.2">
      <c r="B126" s="1" t="s">
        <v>112</v>
      </c>
      <c r="C126">
        <v>2005</v>
      </c>
      <c r="D126" t="s">
        <v>254</v>
      </c>
      <c r="E126">
        <f t="shared" si="1"/>
        <v>4</v>
      </c>
      <c r="F126">
        <v>0</v>
      </c>
    </row>
    <row r="127" spans="2:6" x14ac:dyDescent="0.2">
      <c r="B127" t="s">
        <v>112</v>
      </c>
      <c r="C127">
        <v>2012</v>
      </c>
      <c r="D127" t="s">
        <v>252</v>
      </c>
      <c r="E127">
        <f t="shared" si="1"/>
        <v>4</v>
      </c>
      <c r="F127">
        <v>0</v>
      </c>
    </row>
    <row r="128" spans="2:6" x14ac:dyDescent="0.2">
      <c r="B128" s="1" t="s">
        <v>60</v>
      </c>
      <c r="C128">
        <v>2004</v>
      </c>
      <c r="D128" t="s">
        <v>253</v>
      </c>
      <c r="E128">
        <f t="shared" si="1"/>
        <v>3</v>
      </c>
      <c r="F128">
        <v>1</v>
      </c>
    </row>
    <row r="129" spans="2:6" x14ac:dyDescent="0.2">
      <c r="B129" s="1" t="s">
        <v>60</v>
      </c>
      <c r="C129">
        <v>2005</v>
      </c>
      <c r="D129" t="s">
        <v>253</v>
      </c>
      <c r="E129">
        <f t="shared" si="1"/>
        <v>3</v>
      </c>
      <c r="F129">
        <v>0</v>
      </c>
    </row>
    <row r="130" spans="2:6" x14ac:dyDescent="0.2">
      <c r="B130" s="1" t="s">
        <v>60</v>
      </c>
      <c r="C130">
        <v>2009</v>
      </c>
      <c r="D130" t="s">
        <v>252</v>
      </c>
      <c r="E130">
        <f t="shared" si="1"/>
        <v>3</v>
      </c>
      <c r="F130">
        <v>0</v>
      </c>
    </row>
    <row r="131" spans="2:6" x14ac:dyDescent="0.2">
      <c r="B131" s="1" t="s">
        <v>61</v>
      </c>
      <c r="C131">
        <v>2000</v>
      </c>
      <c r="D131" t="s">
        <v>253</v>
      </c>
      <c r="E131">
        <f t="shared" si="1"/>
        <v>4</v>
      </c>
      <c r="F131">
        <v>1</v>
      </c>
    </row>
    <row r="132" spans="2:6" x14ac:dyDescent="0.2">
      <c r="B132" s="1" t="s">
        <v>61</v>
      </c>
      <c r="C132">
        <v>2006</v>
      </c>
      <c r="D132" t="s">
        <v>279</v>
      </c>
      <c r="E132">
        <f t="shared" si="1"/>
        <v>4</v>
      </c>
      <c r="F132">
        <v>0</v>
      </c>
    </row>
    <row r="133" spans="2:6" x14ac:dyDescent="0.2">
      <c r="B133" t="s">
        <v>61</v>
      </c>
      <c r="C133">
        <v>2012</v>
      </c>
      <c r="D133" t="s">
        <v>253</v>
      </c>
      <c r="E133">
        <f t="shared" si="1"/>
        <v>4</v>
      </c>
      <c r="F133">
        <v>0</v>
      </c>
    </row>
    <row r="134" spans="2:6" x14ac:dyDescent="0.2">
      <c r="B134" t="s">
        <v>61</v>
      </c>
      <c r="C134">
        <v>2013</v>
      </c>
      <c r="D134" t="s">
        <v>253</v>
      </c>
      <c r="E134">
        <f t="shared" si="1"/>
        <v>4</v>
      </c>
      <c r="F134">
        <v>0</v>
      </c>
    </row>
    <row r="135" spans="2:6" x14ac:dyDescent="0.2">
      <c r="B135" s="1" t="s">
        <v>278</v>
      </c>
      <c r="C135">
        <v>1994</v>
      </c>
      <c r="D135" t="s">
        <v>253</v>
      </c>
      <c r="E135">
        <f t="shared" si="1"/>
        <v>1</v>
      </c>
      <c r="F135">
        <v>0</v>
      </c>
    </row>
    <row r="136" spans="2:6" x14ac:dyDescent="0.2">
      <c r="B136" s="1" t="s">
        <v>62</v>
      </c>
      <c r="C136">
        <v>2005</v>
      </c>
      <c r="D136" t="s">
        <v>265</v>
      </c>
      <c r="E136">
        <f t="shared" ref="E136:E199" si="2">COUNTIF(B$8:B$347,B136)</f>
        <v>2</v>
      </c>
      <c r="F136">
        <v>1</v>
      </c>
    </row>
    <row r="137" spans="2:6" x14ac:dyDescent="0.2">
      <c r="B137" t="s">
        <v>62</v>
      </c>
      <c r="C137">
        <v>2011</v>
      </c>
      <c r="D137" t="s">
        <v>253</v>
      </c>
      <c r="E137">
        <f t="shared" si="2"/>
        <v>2</v>
      </c>
      <c r="F137">
        <v>0</v>
      </c>
    </row>
    <row r="138" spans="2:6" x14ac:dyDescent="0.2">
      <c r="B138" s="1" t="s">
        <v>89</v>
      </c>
      <c r="C138">
        <v>1993</v>
      </c>
      <c r="D138" t="s">
        <v>253</v>
      </c>
      <c r="E138">
        <f t="shared" si="2"/>
        <v>3</v>
      </c>
      <c r="F138">
        <v>1</v>
      </c>
    </row>
    <row r="139" spans="2:6" x14ac:dyDescent="0.2">
      <c r="B139" s="30" t="s">
        <v>89</v>
      </c>
      <c r="C139">
        <v>1999</v>
      </c>
      <c r="D139" t="s">
        <v>253</v>
      </c>
      <c r="E139">
        <f t="shared" si="2"/>
        <v>3</v>
      </c>
      <c r="F139">
        <v>0</v>
      </c>
    </row>
    <row r="140" spans="2:6" x14ac:dyDescent="0.2">
      <c r="B140" s="1" t="s">
        <v>89</v>
      </c>
      <c r="C140">
        <v>2005</v>
      </c>
      <c r="D140" t="s">
        <v>253</v>
      </c>
      <c r="E140">
        <f t="shared" si="2"/>
        <v>3</v>
      </c>
      <c r="F140">
        <v>0</v>
      </c>
    </row>
    <row r="141" spans="2:6" x14ac:dyDescent="0.2">
      <c r="B141" s="1" t="s">
        <v>10</v>
      </c>
      <c r="C141">
        <v>1987</v>
      </c>
      <c r="D141" t="s">
        <v>253</v>
      </c>
      <c r="E141">
        <f t="shared" si="2"/>
        <v>10</v>
      </c>
      <c r="F141">
        <v>1</v>
      </c>
    </row>
    <row r="142" spans="2:6" x14ac:dyDescent="0.2">
      <c r="B142" s="1" t="s">
        <v>10</v>
      </c>
      <c r="C142">
        <v>1991</v>
      </c>
      <c r="D142" t="s">
        <v>265</v>
      </c>
      <c r="E142">
        <f t="shared" si="2"/>
        <v>10</v>
      </c>
      <c r="F142">
        <v>0</v>
      </c>
    </row>
    <row r="143" spans="2:6" x14ac:dyDescent="0.2">
      <c r="B143" s="1" t="s">
        <v>10</v>
      </c>
      <c r="C143">
        <v>1994</v>
      </c>
      <c r="D143" t="s">
        <v>253</v>
      </c>
      <c r="E143">
        <f t="shared" si="2"/>
        <v>10</v>
      </c>
      <c r="F143">
        <v>0</v>
      </c>
    </row>
    <row r="144" spans="2:6" x14ac:dyDescent="0.2">
      <c r="B144" s="30" t="s">
        <v>10</v>
      </c>
      <c r="C144">
        <v>1997</v>
      </c>
      <c r="D144" t="s">
        <v>253</v>
      </c>
      <c r="E144">
        <f t="shared" si="2"/>
        <v>10</v>
      </c>
      <c r="F144">
        <v>0</v>
      </c>
    </row>
    <row r="145" spans="2:6" x14ac:dyDescent="0.2">
      <c r="B145" s="1" t="s">
        <v>10</v>
      </c>
      <c r="C145">
        <v>2002</v>
      </c>
      <c r="D145" t="s">
        <v>253</v>
      </c>
      <c r="E145">
        <f t="shared" si="2"/>
        <v>10</v>
      </c>
      <c r="F145">
        <v>0</v>
      </c>
    </row>
    <row r="146" spans="2:6" x14ac:dyDescent="0.2">
      <c r="B146" s="1" t="s">
        <v>10</v>
      </c>
      <c r="C146">
        <v>2003</v>
      </c>
      <c r="D146" t="s">
        <v>253</v>
      </c>
      <c r="E146">
        <f t="shared" si="2"/>
        <v>10</v>
      </c>
      <c r="F146">
        <v>0</v>
      </c>
    </row>
    <row r="147" spans="2:6" x14ac:dyDescent="0.2">
      <c r="B147" s="1" t="s">
        <v>10</v>
      </c>
      <c r="C147">
        <v>2007</v>
      </c>
      <c r="D147" t="s">
        <v>253</v>
      </c>
      <c r="E147">
        <f t="shared" si="2"/>
        <v>10</v>
      </c>
      <c r="F147">
        <v>0</v>
      </c>
    </row>
    <row r="148" spans="2:6" x14ac:dyDescent="0.2">
      <c r="B148" s="1" t="s">
        <v>10</v>
      </c>
      <c r="C148">
        <v>2007</v>
      </c>
      <c r="D148" t="s">
        <v>253</v>
      </c>
      <c r="E148">
        <f t="shared" si="2"/>
        <v>10</v>
      </c>
      <c r="F148">
        <v>0</v>
      </c>
    </row>
    <row r="149" spans="2:6" x14ac:dyDescent="0.2">
      <c r="B149" t="s">
        <v>10</v>
      </c>
      <c r="C149">
        <v>2012</v>
      </c>
      <c r="D149" t="s">
        <v>253</v>
      </c>
      <c r="E149">
        <f t="shared" si="2"/>
        <v>10</v>
      </c>
      <c r="F149">
        <v>1</v>
      </c>
    </row>
    <row r="150" spans="2:6" x14ac:dyDescent="0.2">
      <c r="B150" s="97" t="s">
        <v>10</v>
      </c>
      <c r="C150" s="97">
        <v>2012</v>
      </c>
      <c r="D150" s="97" t="s">
        <v>276</v>
      </c>
      <c r="E150">
        <f t="shared" si="2"/>
        <v>10</v>
      </c>
      <c r="F150" s="97">
        <v>0</v>
      </c>
    </row>
    <row r="151" spans="2:6" x14ac:dyDescent="0.2">
      <c r="B151" s="1" t="s">
        <v>80</v>
      </c>
      <c r="C151">
        <v>1990</v>
      </c>
      <c r="D151" t="s">
        <v>272</v>
      </c>
      <c r="E151">
        <f t="shared" si="2"/>
        <v>6</v>
      </c>
      <c r="F151">
        <v>1</v>
      </c>
    </row>
    <row r="152" spans="2:6" x14ac:dyDescent="0.2">
      <c r="B152" s="30" t="s">
        <v>80</v>
      </c>
      <c r="C152">
        <v>1997</v>
      </c>
      <c r="D152" t="s">
        <v>253</v>
      </c>
      <c r="E152">
        <f t="shared" si="2"/>
        <v>6</v>
      </c>
      <c r="F152">
        <v>0</v>
      </c>
    </row>
    <row r="153" spans="2:6" x14ac:dyDescent="0.2">
      <c r="B153" s="1" t="s">
        <v>80</v>
      </c>
      <c r="C153">
        <v>2002</v>
      </c>
      <c r="D153" t="s">
        <v>253</v>
      </c>
      <c r="E153">
        <f t="shared" si="2"/>
        <v>6</v>
      </c>
      <c r="F153">
        <v>0</v>
      </c>
    </row>
    <row r="154" spans="2:6" x14ac:dyDescent="0.2">
      <c r="B154" s="1" t="s">
        <v>80</v>
      </c>
      <c r="C154">
        <v>2007</v>
      </c>
      <c r="D154" t="s">
        <v>253</v>
      </c>
      <c r="E154">
        <f t="shared" si="2"/>
        <v>6</v>
      </c>
      <c r="F154">
        <v>0</v>
      </c>
    </row>
    <row r="155" spans="2:6" x14ac:dyDescent="0.2">
      <c r="B155" s="1" t="s">
        <v>80</v>
      </c>
      <c r="C155">
        <v>2009</v>
      </c>
      <c r="D155" t="s">
        <v>253</v>
      </c>
      <c r="E155">
        <f t="shared" si="2"/>
        <v>6</v>
      </c>
      <c r="F155">
        <v>0</v>
      </c>
    </row>
    <row r="156" spans="2:6" x14ac:dyDescent="0.2">
      <c r="B156" t="s">
        <v>80</v>
      </c>
      <c r="C156">
        <v>2012</v>
      </c>
      <c r="D156" t="s">
        <v>253</v>
      </c>
      <c r="E156">
        <f t="shared" si="2"/>
        <v>6</v>
      </c>
      <c r="F156">
        <v>0</v>
      </c>
    </row>
    <row r="157" spans="2:6" x14ac:dyDescent="0.2">
      <c r="B157" s="1" t="s">
        <v>31</v>
      </c>
      <c r="C157">
        <v>1995</v>
      </c>
      <c r="D157" t="s">
        <v>276</v>
      </c>
      <c r="E157">
        <f t="shared" si="2"/>
        <v>2</v>
      </c>
      <c r="F157">
        <v>1</v>
      </c>
    </row>
    <row r="158" spans="2:6" x14ac:dyDescent="0.2">
      <c r="B158" s="30" t="s">
        <v>31</v>
      </c>
      <c r="C158">
        <v>1999</v>
      </c>
      <c r="D158" t="s">
        <v>253</v>
      </c>
      <c r="E158">
        <f t="shared" si="2"/>
        <v>2</v>
      </c>
      <c r="F158">
        <v>0</v>
      </c>
    </row>
    <row r="159" spans="2:6" x14ac:dyDescent="0.2">
      <c r="B159" s="1" t="s">
        <v>114</v>
      </c>
      <c r="C159">
        <v>1989</v>
      </c>
      <c r="D159" t="s">
        <v>253</v>
      </c>
      <c r="E159">
        <f t="shared" si="2"/>
        <v>10</v>
      </c>
      <c r="F159">
        <v>1</v>
      </c>
    </row>
    <row r="160" spans="2:6" x14ac:dyDescent="0.2">
      <c r="B160" s="1" t="s">
        <v>114</v>
      </c>
      <c r="C160">
        <v>1993</v>
      </c>
      <c r="D160" t="s">
        <v>253</v>
      </c>
      <c r="E160">
        <f t="shared" si="2"/>
        <v>10</v>
      </c>
      <c r="F160">
        <v>0</v>
      </c>
    </row>
    <row r="161" spans="2:6" x14ac:dyDescent="0.2">
      <c r="B161" s="1" t="s">
        <v>114</v>
      </c>
      <c r="C161">
        <v>1998</v>
      </c>
      <c r="D161" t="s">
        <v>253</v>
      </c>
      <c r="E161">
        <f t="shared" si="2"/>
        <v>10</v>
      </c>
      <c r="F161">
        <v>0</v>
      </c>
    </row>
    <row r="162" spans="2:6" x14ac:dyDescent="0.2">
      <c r="B162" s="30" t="s">
        <v>114</v>
      </c>
      <c r="C162">
        <v>1999</v>
      </c>
      <c r="D162" t="s">
        <v>265</v>
      </c>
      <c r="E162">
        <f t="shared" si="2"/>
        <v>10</v>
      </c>
      <c r="F162">
        <v>0</v>
      </c>
    </row>
    <row r="163" spans="2:6" x14ac:dyDescent="0.2">
      <c r="B163" s="1" t="s">
        <v>114</v>
      </c>
      <c r="C163">
        <v>2003</v>
      </c>
      <c r="D163" t="s">
        <v>253</v>
      </c>
      <c r="E163">
        <f t="shared" si="2"/>
        <v>10</v>
      </c>
      <c r="F163">
        <v>0</v>
      </c>
    </row>
    <row r="164" spans="2:6" x14ac:dyDescent="0.2">
      <c r="B164" s="1" t="s">
        <v>114</v>
      </c>
      <c r="C164">
        <v>2004</v>
      </c>
      <c r="D164" t="s">
        <v>265</v>
      </c>
      <c r="E164">
        <f t="shared" si="2"/>
        <v>10</v>
      </c>
      <c r="F164">
        <v>0</v>
      </c>
    </row>
    <row r="165" spans="2:6" x14ac:dyDescent="0.2">
      <c r="B165" s="1" t="s">
        <v>114</v>
      </c>
      <c r="C165">
        <v>2008</v>
      </c>
      <c r="D165" t="s">
        <v>253</v>
      </c>
      <c r="E165">
        <f t="shared" si="2"/>
        <v>10</v>
      </c>
      <c r="F165">
        <v>0</v>
      </c>
    </row>
    <row r="166" spans="2:6" x14ac:dyDescent="0.2">
      <c r="B166" s="1" t="s">
        <v>114</v>
      </c>
      <c r="C166">
        <v>2010</v>
      </c>
      <c r="D166" t="s">
        <v>265</v>
      </c>
      <c r="E166">
        <f t="shared" si="2"/>
        <v>10</v>
      </c>
      <c r="F166">
        <v>0</v>
      </c>
    </row>
    <row r="167" spans="2:6" x14ac:dyDescent="0.2">
      <c r="B167" s="1" t="s">
        <v>114</v>
      </c>
      <c r="C167">
        <v>2010</v>
      </c>
      <c r="D167" t="s">
        <v>253</v>
      </c>
      <c r="E167">
        <f t="shared" si="2"/>
        <v>10</v>
      </c>
      <c r="F167">
        <v>0</v>
      </c>
    </row>
    <row r="168" spans="2:6" x14ac:dyDescent="0.2">
      <c r="B168" s="97" t="s">
        <v>114</v>
      </c>
      <c r="C168" s="97">
        <v>2014</v>
      </c>
      <c r="D168" s="96" t="s">
        <v>486</v>
      </c>
      <c r="E168">
        <f t="shared" si="2"/>
        <v>10</v>
      </c>
      <c r="F168" s="97">
        <v>0</v>
      </c>
    </row>
    <row r="169" spans="2:6" x14ac:dyDescent="0.2">
      <c r="B169" s="30" t="s">
        <v>32</v>
      </c>
      <c r="C169">
        <v>1997</v>
      </c>
      <c r="D169" t="s">
        <v>253</v>
      </c>
      <c r="E169">
        <f t="shared" si="2"/>
        <v>1</v>
      </c>
      <c r="F169">
        <v>1</v>
      </c>
    </row>
    <row r="170" spans="2:6" x14ac:dyDescent="0.2">
      <c r="B170" t="s">
        <v>300</v>
      </c>
      <c r="C170">
        <v>2012</v>
      </c>
      <c r="D170" t="s">
        <v>253</v>
      </c>
      <c r="E170">
        <f t="shared" si="2"/>
        <v>1</v>
      </c>
      <c r="F170">
        <v>0</v>
      </c>
    </row>
    <row r="171" spans="2:6" x14ac:dyDescent="0.2">
      <c r="B171" t="s">
        <v>297</v>
      </c>
      <c r="C171">
        <v>2011</v>
      </c>
      <c r="D171" t="s">
        <v>253</v>
      </c>
      <c r="E171">
        <f t="shared" si="2"/>
        <v>1</v>
      </c>
      <c r="F171">
        <v>1</v>
      </c>
    </row>
    <row r="172" spans="2:6" x14ac:dyDescent="0.2">
      <c r="B172" s="1" t="s">
        <v>115</v>
      </c>
      <c r="C172">
        <v>2004</v>
      </c>
      <c r="D172" t="s">
        <v>253</v>
      </c>
      <c r="E172">
        <f t="shared" si="2"/>
        <v>2</v>
      </c>
      <c r="F172">
        <v>1</v>
      </c>
    </row>
    <row r="173" spans="2:6" x14ac:dyDescent="0.2">
      <c r="B173" s="1" t="s">
        <v>115</v>
      </c>
      <c r="C173">
        <v>2009</v>
      </c>
      <c r="D173" t="s">
        <v>253</v>
      </c>
      <c r="E173">
        <f t="shared" si="2"/>
        <v>2</v>
      </c>
      <c r="F173">
        <v>0</v>
      </c>
    </row>
    <row r="174" spans="2:6" x14ac:dyDescent="0.2">
      <c r="B174" t="s">
        <v>116</v>
      </c>
      <c r="C174">
        <v>2011</v>
      </c>
      <c r="D174" t="s">
        <v>253</v>
      </c>
      <c r="E174">
        <f t="shared" si="2"/>
        <v>2</v>
      </c>
      <c r="F174">
        <v>1</v>
      </c>
    </row>
    <row r="175" spans="2:6" x14ac:dyDescent="0.2">
      <c r="B175" t="s">
        <v>116</v>
      </c>
      <c r="C175">
        <v>2013</v>
      </c>
      <c r="D175" t="s">
        <v>279</v>
      </c>
      <c r="E175">
        <f t="shared" si="2"/>
        <v>2</v>
      </c>
      <c r="F175">
        <v>0</v>
      </c>
    </row>
    <row r="176" spans="2:6" x14ac:dyDescent="0.2">
      <c r="B176" s="1" t="s">
        <v>274</v>
      </c>
      <c r="C176">
        <v>1986</v>
      </c>
      <c r="D176" t="s">
        <v>253</v>
      </c>
      <c r="E176">
        <f t="shared" si="2"/>
        <v>3</v>
      </c>
      <c r="F176">
        <v>0</v>
      </c>
    </row>
    <row r="177" spans="2:6" x14ac:dyDescent="0.2">
      <c r="B177" s="1" t="s">
        <v>274</v>
      </c>
      <c r="C177">
        <v>2007</v>
      </c>
      <c r="D177" t="s">
        <v>276</v>
      </c>
      <c r="E177">
        <f t="shared" si="2"/>
        <v>3</v>
      </c>
      <c r="F177">
        <v>0</v>
      </c>
    </row>
    <row r="178" spans="2:6" x14ac:dyDescent="0.2">
      <c r="B178" s="1" t="s">
        <v>274</v>
      </c>
      <c r="C178">
        <v>2009</v>
      </c>
      <c r="D178" t="s">
        <v>253</v>
      </c>
      <c r="E178">
        <f t="shared" si="2"/>
        <v>3</v>
      </c>
      <c r="F178">
        <v>0</v>
      </c>
    </row>
    <row r="179" spans="2:6" x14ac:dyDescent="0.2">
      <c r="B179" s="1" t="s">
        <v>117</v>
      </c>
      <c r="C179">
        <v>1992</v>
      </c>
      <c r="D179" t="s">
        <v>271</v>
      </c>
      <c r="E179">
        <f t="shared" si="2"/>
        <v>5</v>
      </c>
      <c r="F179">
        <v>1</v>
      </c>
    </row>
    <row r="180" spans="2:6" x14ac:dyDescent="0.2">
      <c r="B180" s="30" t="s">
        <v>117</v>
      </c>
      <c r="C180">
        <v>1997</v>
      </c>
      <c r="D180" t="s">
        <v>253</v>
      </c>
      <c r="E180">
        <f t="shared" si="2"/>
        <v>5</v>
      </c>
      <c r="F180">
        <v>0</v>
      </c>
    </row>
    <row r="181" spans="2:6" x14ac:dyDescent="0.2">
      <c r="B181" s="1" t="s">
        <v>117</v>
      </c>
      <c r="C181">
        <v>2004</v>
      </c>
      <c r="D181" t="s">
        <v>253</v>
      </c>
      <c r="E181">
        <f t="shared" si="2"/>
        <v>5</v>
      </c>
      <c r="F181">
        <v>0</v>
      </c>
    </row>
    <row r="182" spans="2:6" x14ac:dyDescent="0.2">
      <c r="B182" t="s">
        <v>117</v>
      </c>
      <c r="C182">
        <v>2011</v>
      </c>
      <c r="D182" t="s">
        <v>253</v>
      </c>
      <c r="E182">
        <f t="shared" si="2"/>
        <v>5</v>
      </c>
      <c r="F182">
        <v>0</v>
      </c>
    </row>
    <row r="183" spans="2:6" x14ac:dyDescent="0.2">
      <c r="B183" t="s">
        <v>117</v>
      </c>
      <c r="C183">
        <v>2013</v>
      </c>
      <c r="D183" t="s">
        <v>253</v>
      </c>
      <c r="E183">
        <f t="shared" si="2"/>
        <v>5</v>
      </c>
      <c r="F183">
        <v>0</v>
      </c>
    </row>
    <row r="184" spans="2:6" x14ac:dyDescent="0.2">
      <c r="B184" s="1" t="s">
        <v>379</v>
      </c>
      <c r="C184">
        <v>2008</v>
      </c>
      <c r="D184" t="s">
        <v>253</v>
      </c>
      <c r="E184">
        <f t="shared" si="2"/>
        <v>1</v>
      </c>
      <c r="F184">
        <v>0</v>
      </c>
    </row>
    <row r="185" spans="2:6" x14ac:dyDescent="0.2">
      <c r="B185" s="1" t="s">
        <v>118</v>
      </c>
      <c r="C185">
        <v>1992</v>
      </c>
      <c r="D185" t="s">
        <v>261</v>
      </c>
      <c r="E185">
        <f t="shared" si="2"/>
        <v>8</v>
      </c>
      <c r="F185">
        <v>1</v>
      </c>
    </row>
    <row r="186" spans="2:6" x14ac:dyDescent="0.2">
      <c r="B186" s="1" t="s">
        <v>118</v>
      </c>
      <c r="C186">
        <v>1996</v>
      </c>
      <c r="D186" t="s">
        <v>253</v>
      </c>
      <c r="E186">
        <f t="shared" si="2"/>
        <v>8</v>
      </c>
      <c r="F186">
        <v>0</v>
      </c>
    </row>
    <row r="187" spans="2:6" x14ac:dyDescent="0.2">
      <c r="B187" s="1" t="s">
        <v>118</v>
      </c>
      <c r="C187">
        <v>2000</v>
      </c>
      <c r="D187" t="s">
        <v>253</v>
      </c>
      <c r="E187">
        <f t="shared" si="2"/>
        <v>8</v>
      </c>
      <c r="F187">
        <v>0</v>
      </c>
    </row>
    <row r="188" spans="2:6" x14ac:dyDescent="0.2">
      <c r="B188" s="1" t="s">
        <v>118</v>
      </c>
      <c r="C188">
        <v>2004</v>
      </c>
      <c r="D188" t="s">
        <v>253</v>
      </c>
      <c r="E188">
        <f t="shared" si="2"/>
        <v>8</v>
      </c>
      <c r="F188">
        <v>0</v>
      </c>
    </row>
    <row r="189" spans="2:6" x14ac:dyDescent="0.2">
      <c r="B189" s="1" t="s">
        <v>118</v>
      </c>
      <c r="C189">
        <v>2010</v>
      </c>
      <c r="D189" t="s">
        <v>253</v>
      </c>
      <c r="E189">
        <f t="shared" si="2"/>
        <v>8</v>
      </c>
      <c r="F189">
        <v>0</v>
      </c>
    </row>
    <row r="190" spans="2:6" x14ac:dyDescent="0.2">
      <c r="B190" t="s">
        <v>118</v>
      </c>
      <c r="C190">
        <v>2012</v>
      </c>
      <c r="D190" t="s">
        <v>259</v>
      </c>
      <c r="E190">
        <f t="shared" si="2"/>
        <v>8</v>
      </c>
      <c r="F190">
        <v>0</v>
      </c>
    </row>
    <row r="191" spans="2:6" x14ac:dyDescent="0.2">
      <c r="B191" t="s">
        <v>118</v>
      </c>
      <c r="C191">
        <v>2013</v>
      </c>
      <c r="D191" t="s">
        <v>255</v>
      </c>
      <c r="E191">
        <f t="shared" si="2"/>
        <v>8</v>
      </c>
      <c r="F191">
        <v>0</v>
      </c>
    </row>
    <row r="192" spans="2:6" x14ac:dyDescent="0.2">
      <c r="B192" s="97" t="s">
        <v>118</v>
      </c>
      <c r="C192" s="97">
        <v>2014</v>
      </c>
      <c r="D192" s="96" t="s">
        <v>295</v>
      </c>
      <c r="E192">
        <f t="shared" si="2"/>
        <v>8</v>
      </c>
      <c r="F192" s="97">
        <v>0</v>
      </c>
    </row>
    <row r="193" spans="2:8" x14ac:dyDescent="0.2">
      <c r="B193" s="1" t="s">
        <v>90</v>
      </c>
      <c r="C193">
        <v>2009</v>
      </c>
      <c r="D193" t="s">
        <v>255</v>
      </c>
      <c r="E193">
        <f t="shared" si="2"/>
        <v>1</v>
      </c>
      <c r="F193">
        <v>1</v>
      </c>
    </row>
    <row r="194" spans="2:8" x14ac:dyDescent="0.2">
      <c r="B194" s="1" t="s">
        <v>119</v>
      </c>
      <c r="C194">
        <v>1987</v>
      </c>
      <c r="D194" t="s">
        <v>253</v>
      </c>
      <c r="E194">
        <f t="shared" si="2"/>
        <v>6</v>
      </c>
      <c r="F194">
        <v>1</v>
      </c>
    </row>
    <row r="195" spans="2:8" x14ac:dyDescent="0.2">
      <c r="B195" s="1" t="s">
        <v>119</v>
      </c>
      <c r="C195">
        <v>1996</v>
      </c>
      <c r="D195" t="s">
        <v>253</v>
      </c>
      <c r="E195">
        <f t="shared" si="2"/>
        <v>6</v>
      </c>
      <c r="F195">
        <v>0</v>
      </c>
    </row>
    <row r="196" spans="2:8" x14ac:dyDescent="0.2">
      <c r="B196" s="1" t="s">
        <v>119</v>
      </c>
      <c r="C196">
        <v>2001</v>
      </c>
      <c r="D196" t="s">
        <v>253</v>
      </c>
      <c r="E196">
        <f t="shared" si="2"/>
        <v>6</v>
      </c>
      <c r="F196">
        <v>0</v>
      </c>
    </row>
    <row r="197" spans="2:8" x14ac:dyDescent="0.2">
      <c r="B197" s="1" t="s">
        <v>119</v>
      </c>
      <c r="C197">
        <v>2006</v>
      </c>
      <c r="D197" t="s">
        <v>267</v>
      </c>
      <c r="E197">
        <f t="shared" si="2"/>
        <v>6</v>
      </c>
      <c r="F197">
        <v>0</v>
      </c>
    </row>
    <row r="198" spans="2:8" x14ac:dyDescent="0.2">
      <c r="B198" s="1" t="s">
        <v>119</v>
      </c>
      <c r="C198">
        <v>2010</v>
      </c>
      <c r="D198" t="s">
        <v>253</v>
      </c>
      <c r="E198">
        <f t="shared" si="2"/>
        <v>6</v>
      </c>
      <c r="F198">
        <v>0</v>
      </c>
    </row>
    <row r="199" spans="2:8" x14ac:dyDescent="0.2">
      <c r="B199" t="s">
        <v>119</v>
      </c>
      <c r="C199">
        <v>2012</v>
      </c>
      <c r="D199" t="s">
        <v>256</v>
      </c>
      <c r="E199">
        <f t="shared" si="2"/>
        <v>6</v>
      </c>
      <c r="F199">
        <v>0</v>
      </c>
    </row>
    <row r="200" spans="2:8" x14ac:dyDescent="0.2">
      <c r="B200" s="1" t="s">
        <v>120</v>
      </c>
      <c r="C200">
        <v>2000</v>
      </c>
      <c r="D200" t="s">
        <v>250</v>
      </c>
      <c r="E200">
        <f t="shared" ref="E200:E263" si="3">COUNTIF(B$8:B$347,B200)</f>
        <v>2</v>
      </c>
      <c r="F200">
        <v>1</v>
      </c>
    </row>
    <row r="201" spans="2:8" x14ac:dyDescent="0.2">
      <c r="B201" s="1" t="s">
        <v>120</v>
      </c>
      <c r="C201">
        <v>2003</v>
      </c>
      <c r="D201" t="s">
        <v>250</v>
      </c>
      <c r="E201">
        <f t="shared" si="3"/>
        <v>2</v>
      </c>
      <c r="F201">
        <v>0</v>
      </c>
    </row>
    <row r="202" spans="2:8" x14ac:dyDescent="0.2">
      <c r="B202" s="1" t="s">
        <v>64</v>
      </c>
      <c r="C202">
        <v>1987</v>
      </c>
      <c r="D202" t="s">
        <v>253</v>
      </c>
      <c r="E202">
        <f t="shared" si="3"/>
        <v>1</v>
      </c>
      <c r="F202">
        <v>1</v>
      </c>
    </row>
    <row r="203" spans="2:8" x14ac:dyDescent="0.2">
      <c r="B203" s="1" t="s">
        <v>36</v>
      </c>
      <c r="C203">
        <v>2005</v>
      </c>
      <c r="D203" t="s">
        <v>250</v>
      </c>
      <c r="E203">
        <f t="shared" si="3"/>
        <v>1</v>
      </c>
      <c r="F203">
        <v>1</v>
      </c>
    </row>
    <row r="204" spans="2:8" x14ac:dyDescent="0.2">
      <c r="B204" s="1" t="s">
        <v>81</v>
      </c>
      <c r="C204">
        <v>1987</v>
      </c>
      <c r="D204" t="s">
        <v>250</v>
      </c>
      <c r="E204">
        <f t="shared" si="3"/>
        <v>4</v>
      </c>
      <c r="F204">
        <v>1</v>
      </c>
      <c r="H204" t="s">
        <v>292</v>
      </c>
    </row>
    <row r="205" spans="2:8" x14ac:dyDescent="0.2">
      <c r="B205" s="1" t="s">
        <v>81</v>
      </c>
      <c r="C205">
        <v>1992</v>
      </c>
      <c r="D205" t="s">
        <v>256</v>
      </c>
      <c r="E205">
        <f t="shared" si="3"/>
        <v>4</v>
      </c>
      <c r="F205">
        <v>0</v>
      </c>
    </row>
    <row r="206" spans="2:8" x14ac:dyDescent="0.2">
      <c r="B206" s="1" t="s">
        <v>81</v>
      </c>
      <c r="C206">
        <v>1995</v>
      </c>
      <c r="D206" t="s">
        <v>250</v>
      </c>
      <c r="E206">
        <f t="shared" si="3"/>
        <v>4</v>
      </c>
      <c r="F206">
        <v>0</v>
      </c>
    </row>
    <row r="207" spans="2:8" x14ac:dyDescent="0.2">
      <c r="B207" s="1" t="s">
        <v>81</v>
      </c>
      <c r="C207">
        <v>2003</v>
      </c>
      <c r="D207" t="s">
        <v>250</v>
      </c>
      <c r="E207">
        <f t="shared" si="3"/>
        <v>4</v>
      </c>
      <c r="F207">
        <v>0</v>
      </c>
    </row>
    <row r="208" spans="2:8" x14ac:dyDescent="0.2">
      <c r="B208" s="30" t="s">
        <v>121</v>
      </c>
      <c r="C208">
        <v>1997</v>
      </c>
      <c r="D208" t="s">
        <v>250</v>
      </c>
      <c r="E208">
        <f t="shared" si="3"/>
        <v>4</v>
      </c>
      <c r="F208">
        <v>1</v>
      </c>
    </row>
    <row r="209" spans="2:6" x14ac:dyDescent="0.2">
      <c r="B209" s="1" t="s">
        <v>121</v>
      </c>
      <c r="C209">
        <v>2003</v>
      </c>
      <c r="D209" t="s">
        <v>256</v>
      </c>
      <c r="E209">
        <f t="shared" si="3"/>
        <v>4</v>
      </c>
      <c r="F209">
        <v>0</v>
      </c>
    </row>
    <row r="210" spans="2:6" x14ac:dyDescent="0.2">
      <c r="B210" s="1" t="s">
        <v>121</v>
      </c>
      <c r="C210">
        <v>2009</v>
      </c>
      <c r="D210" t="s">
        <v>250</v>
      </c>
      <c r="E210">
        <f t="shared" si="3"/>
        <v>4</v>
      </c>
      <c r="F210">
        <v>0</v>
      </c>
    </row>
    <row r="211" spans="2:6" x14ac:dyDescent="0.2">
      <c r="B211" t="s">
        <v>121</v>
      </c>
      <c r="C211">
        <v>2011</v>
      </c>
      <c r="D211" t="s">
        <v>250</v>
      </c>
      <c r="E211">
        <f t="shared" si="3"/>
        <v>4</v>
      </c>
      <c r="F211">
        <v>0</v>
      </c>
    </row>
    <row r="212" spans="2:6" x14ac:dyDescent="0.2">
      <c r="B212" s="1" t="s">
        <v>122</v>
      </c>
      <c r="C212">
        <v>1992</v>
      </c>
      <c r="D212" t="s">
        <v>250</v>
      </c>
      <c r="E212">
        <f t="shared" si="3"/>
        <v>5</v>
      </c>
      <c r="F212">
        <v>1</v>
      </c>
    </row>
    <row r="213" spans="2:6" x14ac:dyDescent="0.2">
      <c r="B213" s="1" t="s">
        <v>122</v>
      </c>
      <c r="C213">
        <v>2000</v>
      </c>
      <c r="D213" t="s">
        <v>250</v>
      </c>
      <c r="E213">
        <f t="shared" si="3"/>
        <v>5</v>
      </c>
      <c r="F213">
        <v>0</v>
      </c>
    </row>
    <row r="214" spans="2:6" x14ac:dyDescent="0.2">
      <c r="B214" s="1" t="s">
        <v>122</v>
      </c>
      <c r="C214">
        <v>2006</v>
      </c>
      <c r="D214" t="s">
        <v>253</v>
      </c>
      <c r="E214">
        <f t="shared" si="3"/>
        <v>5</v>
      </c>
      <c r="F214">
        <v>0</v>
      </c>
    </row>
    <row r="215" spans="2:6" x14ac:dyDescent="0.2">
      <c r="B215" s="1" t="s">
        <v>122</v>
      </c>
      <c r="C215">
        <v>2009</v>
      </c>
      <c r="D215" t="s">
        <v>256</v>
      </c>
      <c r="E215">
        <f t="shared" si="3"/>
        <v>5</v>
      </c>
      <c r="F215">
        <v>0</v>
      </c>
    </row>
    <row r="216" spans="2:6" x14ac:dyDescent="0.2">
      <c r="B216" t="s">
        <v>122</v>
      </c>
      <c r="C216">
        <v>2013</v>
      </c>
      <c r="D216" t="s">
        <v>255</v>
      </c>
      <c r="E216">
        <f t="shared" si="3"/>
        <v>5</v>
      </c>
      <c r="F216">
        <v>0</v>
      </c>
    </row>
    <row r="217" spans="2:6" x14ac:dyDescent="0.2">
      <c r="B217" s="1" t="s">
        <v>91</v>
      </c>
      <c r="C217">
        <v>1987</v>
      </c>
      <c r="D217" t="s">
        <v>250</v>
      </c>
      <c r="E217">
        <f t="shared" si="3"/>
        <v>5</v>
      </c>
      <c r="F217">
        <v>1</v>
      </c>
    </row>
    <row r="218" spans="2:6" x14ac:dyDescent="0.2">
      <c r="B218" s="1" t="s">
        <v>91</v>
      </c>
      <c r="C218">
        <v>1996</v>
      </c>
      <c r="D218" t="s">
        <v>258</v>
      </c>
      <c r="E218">
        <f t="shared" si="3"/>
        <v>5</v>
      </c>
      <c r="F218">
        <v>0</v>
      </c>
    </row>
    <row r="219" spans="2:6" x14ac:dyDescent="0.2">
      <c r="B219" s="1" t="s">
        <v>91</v>
      </c>
      <c r="C219">
        <v>2001</v>
      </c>
      <c r="D219" t="s">
        <v>250</v>
      </c>
      <c r="E219">
        <f t="shared" si="3"/>
        <v>5</v>
      </c>
      <c r="F219">
        <v>0</v>
      </c>
    </row>
    <row r="220" spans="2:6" x14ac:dyDescent="0.2">
      <c r="B220" s="1" t="s">
        <v>91</v>
      </c>
      <c r="C220">
        <v>2006</v>
      </c>
      <c r="D220" t="s">
        <v>250</v>
      </c>
      <c r="E220">
        <f t="shared" si="3"/>
        <v>5</v>
      </c>
      <c r="F220">
        <v>0</v>
      </c>
    </row>
    <row r="221" spans="2:6" x14ac:dyDescent="0.2">
      <c r="B221" t="s">
        <v>91</v>
      </c>
      <c r="C221">
        <v>2011</v>
      </c>
      <c r="D221" t="s">
        <v>250</v>
      </c>
      <c r="E221">
        <f t="shared" si="3"/>
        <v>5</v>
      </c>
      <c r="F221">
        <v>0</v>
      </c>
    </row>
    <row r="222" spans="2:6" x14ac:dyDescent="0.2">
      <c r="B222" s="1" t="s">
        <v>65</v>
      </c>
      <c r="C222">
        <v>1998</v>
      </c>
      <c r="D222" t="s">
        <v>250</v>
      </c>
      <c r="E222">
        <f t="shared" si="3"/>
        <v>4</v>
      </c>
      <c r="F222">
        <v>1</v>
      </c>
    </row>
    <row r="223" spans="2:6" x14ac:dyDescent="0.2">
      <c r="B223" s="1" t="s">
        <v>65</v>
      </c>
      <c r="C223">
        <v>2001</v>
      </c>
      <c r="D223" t="s">
        <v>250</v>
      </c>
      <c r="E223">
        <f t="shared" si="3"/>
        <v>4</v>
      </c>
      <c r="F223">
        <v>0</v>
      </c>
    </row>
    <row r="224" spans="2:6" x14ac:dyDescent="0.2">
      <c r="B224" s="1" t="s">
        <v>65</v>
      </c>
      <c r="C224">
        <v>2006</v>
      </c>
      <c r="D224" t="s">
        <v>250</v>
      </c>
      <c r="E224">
        <f t="shared" si="3"/>
        <v>4</v>
      </c>
      <c r="F224">
        <v>0</v>
      </c>
    </row>
    <row r="225" spans="2:6" x14ac:dyDescent="0.2">
      <c r="B225" s="1" t="s">
        <v>65</v>
      </c>
      <c r="C225">
        <v>2012</v>
      </c>
      <c r="D225" t="s">
        <v>250</v>
      </c>
      <c r="E225">
        <f t="shared" si="3"/>
        <v>4</v>
      </c>
      <c r="F225">
        <v>0</v>
      </c>
    </row>
    <row r="226" spans="2:6" x14ac:dyDescent="0.2">
      <c r="B226" s="1" t="s">
        <v>123</v>
      </c>
      <c r="C226">
        <v>1992</v>
      </c>
      <c r="D226" t="s">
        <v>250</v>
      </c>
      <c r="E226">
        <f t="shared" si="3"/>
        <v>4</v>
      </c>
      <c r="F226">
        <v>1</v>
      </c>
    </row>
    <row r="227" spans="2:6" x14ac:dyDescent="0.2">
      <c r="B227" s="1" t="s">
        <v>123</v>
      </c>
      <c r="C227">
        <v>1998</v>
      </c>
      <c r="D227" t="s">
        <v>250</v>
      </c>
      <c r="E227">
        <f t="shared" si="3"/>
        <v>4</v>
      </c>
      <c r="F227">
        <v>0</v>
      </c>
    </row>
    <row r="228" spans="2:6" x14ac:dyDescent="0.2">
      <c r="B228" s="1" t="s">
        <v>123</v>
      </c>
      <c r="C228">
        <v>2006</v>
      </c>
      <c r="D228" t="s">
        <v>250</v>
      </c>
      <c r="E228">
        <f t="shared" si="3"/>
        <v>4</v>
      </c>
      <c r="F228">
        <v>0</v>
      </c>
    </row>
    <row r="229" spans="2:6" x14ac:dyDescent="0.2">
      <c r="B229" t="s">
        <v>123</v>
      </c>
      <c r="C229">
        <v>2012</v>
      </c>
      <c r="D229" t="s">
        <v>258</v>
      </c>
      <c r="E229">
        <f t="shared" si="3"/>
        <v>4</v>
      </c>
      <c r="F229">
        <v>0</v>
      </c>
    </row>
    <row r="230" spans="2:6" x14ac:dyDescent="0.2">
      <c r="B230" s="1" t="s">
        <v>124</v>
      </c>
      <c r="C230">
        <v>1986</v>
      </c>
      <c r="D230" t="s">
        <v>253</v>
      </c>
      <c r="E230">
        <f t="shared" si="3"/>
        <v>7</v>
      </c>
      <c r="F230">
        <v>1</v>
      </c>
    </row>
    <row r="231" spans="2:6" x14ac:dyDescent="0.2">
      <c r="B231" s="1" t="s">
        <v>124</v>
      </c>
      <c r="C231">
        <v>1990</v>
      </c>
      <c r="D231" t="s">
        <v>250</v>
      </c>
      <c r="E231">
        <f t="shared" si="3"/>
        <v>7</v>
      </c>
      <c r="F231">
        <v>0</v>
      </c>
    </row>
    <row r="232" spans="2:6" x14ac:dyDescent="0.2">
      <c r="B232" s="30" t="s">
        <v>124</v>
      </c>
      <c r="C232">
        <v>1999</v>
      </c>
      <c r="D232" t="s">
        <v>259</v>
      </c>
      <c r="E232">
        <f t="shared" si="3"/>
        <v>7</v>
      </c>
      <c r="F232">
        <v>0</v>
      </c>
    </row>
    <row r="233" spans="2:6" x14ac:dyDescent="0.2">
      <c r="B233" s="1" t="s">
        <v>124</v>
      </c>
      <c r="C233">
        <v>2003</v>
      </c>
      <c r="D233" t="s">
        <v>250</v>
      </c>
      <c r="E233">
        <f t="shared" si="3"/>
        <v>7</v>
      </c>
      <c r="F233">
        <v>0</v>
      </c>
    </row>
    <row r="234" spans="2:6" x14ac:dyDescent="0.2">
      <c r="B234" s="1" t="s">
        <v>124</v>
      </c>
      <c r="C234">
        <v>2008</v>
      </c>
      <c r="D234" t="s">
        <v>250</v>
      </c>
      <c r="E234">
        <f t="shared" si="3"/>
        <v>7</v>
      </c>
      <c r="F234">
        <v>0</v>
      </c>
    </row>
    <row r="235" spans="2:6" x14ac:dyDescent="0.2">
      <c r="B235" s="1" t="s">
        <v>124</v>
      </c>
      <c r="C235">
        <v>2010</v>
      </c>
      <c r="D235" t="s">
        <v>250</v>
      </c>
      <c r="E235">
        <f t="shared" si="3"/>
        <v>7</v>
      </c>
      <c r="F235">
        <v>0</v>
      </c>
    </row>
    <row r="236" spans="2:6" x14ac:dyDescent="0.2">
      <c r="B236" t="s">
        <v>124</v>
      </c>
      <c r="C236">
        <v>2013</v>
      </c>
      <c r="D236" t="s">
        <v>282</v>
      </c>
      <c r="E236">
        <f t="shared" si="3"/>
        <v>7</v>
      </c>
      <c r="F236">
        <v>0</v>
      </c>
    </row>
    <row r="237" spans="2:6" x14ac:dyDescent="0.2">
      <c r="B237" s="1" t="s">
        <v>92</v>
      </c>
      <c r="C237">
        <v>1991</v>
      </c>
      <c r="D237" t="s">
        <v>250</v>
      </c>
      <c r="E237">
        <f t="shared" si="3"/>
        <v>3</v>
      </c>
      <c r="F237">
        <v>1</v>
      </c>
    </row>
    <row r="238" spans="2:6" x14ac:dyDescent="0.2">
      <c r="B238" s="1" t="s">
        <v>92</v>
      </c>
      <c r="C238">
        <v>2006</v>
      </c>
      <c r="D238" t="s">
        <v>282</v>
      </c>
      <c r="E238">
        <f t="shared" si="3"/>
        <v>3</v>
      </c>
      <c r="F238">
        <v>0</v>
      </c>
    </row>
    <row r="239" spans="2:6" x14ac:dyDescent="0.2">
      <c r="B239" t="s">
        <v>92</v>
      </c>
      <c r="C239">
        <v>2013</v>
      </c>
      <c r="D239" t="s">
        <v>277</v>
      </c>
      <c r="E239">
        <f t="shared" si="3"/>
        <v>3</v>
      </c>
      <c r="F239">
        <v>0</v>
      </c>
    </row>
    <row r="240" spans="2:6" x14ac:dyDescent="0.2">
      <c r="B240" s="1" t="s">
        <v>67</v>
      </c>
      <c r="C240">
        <v>1990</v>
      </c>
      <c r="D240" t="s">
        <v>250</v>
      </c>
      <c r="E240">
        <f t="shared" si="3"/>
        <v>1</v>
      </c>
      <c r="F240">
        <v>1</v>
      </c>
    </row>
    <row r="241" spans="2:6" x14ac:dyDescent="0.2">
      <c r="B241" s="1" t="s">
        <v>68</v>
      </c>
      <c r="C241">
        <v>1986</v>
      </c>
      <c r="D241" t="s">
        <v>250</v>
      </c>
      <c r="E241">
        <f t="shared" si="3"/>
        <v>13</v>
      </c>
      <c r="F241">
        <v>1</v>
      </c>
    </row>
    <row r="242" spans="2:6" x14ac:dyDescent="0.2">
      <c r="B242" s="1" t="s">
        <v>68</v>
      </c>
      <c r="C242">
        <v>1986</v>
      </c>
      <c r="D242" t="s">
        <v>250</v>
      </c>
      <c r="E242">
        <f t="shared" si="3"/>
        <v>13</v>
      </c>
      <c r="F242">
        <v>0</v>
      </c>
    </row>
    <row r="243" spans="2:6" x14ac:dyDescent="0.2">
      <c r="B243" s="1" t="s">
        <v>68</v>
      </c>
      <c r="C243">
        <v>1992</v>
      </c>
      <c r="D243" t="s">
        <v>293</v>
      </c>
      <c r="E243">
        <f t="shared" si="3"/>
        <v>13</v>
      </c>
      <c r="F243">
        <v>0</v>
      </c>
    </row>
    <row r="244" spans="2:6" x14ac:dyDescent="0.2">
      <c r="B244" s="1" t="s">
        <v>68</v>
      </c>
      <c r="C244">
        <v>1996</v>
      </c>
      <c r="D244" t="s">
        <v>264</v>
      </c>
      <c r="E244">
        <f t="shared" si="3"/>
        <v>13</v>
      </c>
      <c r="F244">
        <v>0</v>
      </c>
    </row>
    <row r="245" spans="2:6" x14ac:dyDescent="0.2">
      <c r="B245" s="1" t="s">
        <v>68</v>
      </c>
      <c r="C245">
        <v>2000</v>
      </c>
      <c r="D245" t="s">
        <v>256</v>
      </c>
      <c r="E245">
        <f t="shared" si="3"/>
        <v>13</v>
      </c>
      <c r="F245">
        <v>0</v>
      </c>
    </row>
    <row r="246" spans="2:6" x14ac:dyDescent="0.2">
      <c r="B246" s="1" t="s">
        <v>68</v>
      </c>
      <c r="C246">
        <v>2004</v>
      </c>
      <c r="D246" t="s">
        <v>259</v>
      </c>
      <c r="E246">
        <f t="shared" si="3"/>
        <v>13</v>
      </c>
      <c r="F246">
        <v>0</v>
      </c>
    </row>
    <row r="247" spans="2:6" x14ac:dyDescent="0.2">
      <c r="B247" s="1" t="s">
        <v>68</v>
      </c>
      <c r="C247">
        <v>2007</v>
      </c>
      <c r="D247" t="s">
        <v>250</v>
      </c>
      <c r="E247">
        <f t="shared" si="3"/>
        <v>13</v>
      </c>
      <c r="F247">
        <v>0</v>
      </c>
    </row>
    <row r="248" spans="2:6" x14ac:dyDescent="0.2">
      <c r="B248" s="1" t="s">
        <v>68</v>
      </c>
      <c r="C248">
        <v>2009</v>
      </c>
      <c r="D248" t="s">
        <v>250</v>
      </c>
      <c r="E248">
        <f t="shared" si="3"/>
        <v>13</v>
      </c>
      <c r="F248">
        <v>0</v>
      </c>
    </row>
    <row r="249" spans="2:6" x14ac:dyDescent="0.2">
      <c r="B249" s="1" t="s">
        <v>68</v>
      </c>
      <c r="C249">
        <v>2010</v>
      </c>
      <c r="D249" t="s">
        <v>250</v>
      </c>
      <c r="E249">
        <f t="shared" si="3"/>
        <v>13</v>
      </c>
      <c r="F249">
        <v>0</v>
      </c>
    </row>
    <row r="250" spans="2:6" x14ac:dyDescent="0.2">
      <c r="B250" t="s">
        <v>68</v>
      </c>
      <c r="C250">
        <v>2011</v>
      </c>
      <c r="D250" t="s">
        <v>250</v>
      </c>
      <c r="E250">
        <f t="shared" si="3"/>
        <v>13</v>
      </c>
      <c r="F250">
        <v>0</v>
      </c>
    </row>
    <row r="251" spans="2:6" x14ac:dyDescent="0.2">
      <c r="B251" t="s">
        <v>68</v>
      </c>
      <c r="C251">
        <v>2012</v>
      </c>
      <c r="D251" t="s">
        <v>250</v>
      </c>
      <c r="E251">
        <f t="shared" si="3"/>
        <v>13</v>
      </c>
      <c r="F251">
        <v>0</v>
      </c>
    </row>
    <row r="252" spans="2:6" x14ac:dyDescent="0.2">
      <c r="B252" t="s">
        <v>68</v>
      </c>
      <c r="C252">
        <v>2013</v>
      </c>
      <c r="D252" t="s">
        <v>250</v>
      </c>
      <c r="E252">
        <f t="shared" si="3"/>
        <v>13</v>
      </c>
      <c r="F252">
        <v>0</v>
      </c>
    </row>
    <row r="253" spans="2:6" x14ac:dyDescent="0.2">
      <c r="B253" s="97" t="s">
        <v>68</v>
      </c>
      <c r="C253" s="97">
        <v>2014</v>
      </c>
      <c r="D253" s="96" t="s">
        <v>485</v>
      </c>
      <c r="E253">
        <f t="shared" si="3"/>
        <v>13</v>
      </c>
      <c r="F253" s="97">
        <v>0</v>
      </c>
    </row>
    <row r="254" spans="2:6" x14ac:dyDescent="0.2">
      <c r="B254" s="1" t="s">
        <v>15</v>
      </c>
      <c r="C254">
        <v>1993</v>
      </c>
      <c r="D254" t="s">
        <v>250</v>
      </c>
      <c r="E254">
        <f t="shared" si="3"/>
        <v>6</v>
      </c>
      <c r="F254">
        <v>1</v>
      </c>
    </row>
    <row r="255" spans="2:6" x14ac:dyDescent="0.2">
      <c r="B255" s="1" t="s">
        <v>15</v>
      </c>
      <c r="C255">
        <v>1993</v>
      </c>
      <c r="D255" t="s">
        <v>250</v>
      </c>
      <c r="E255">
        <f t="shared" si="3"/>
        <v>6</v>
      </c>
      <c r="F255">
        <v>0</v>
      </c>
    </row>
    <row r="256" spans="2:6" x14ac:dyDescent="0.2">
      <c r="B256" s="1" t="s">
        <v>15</v>
      </c>
      <c r="C256">
        <v>1998</v>
      </c>
      <c r="D256" t="s">
        <v>250</v>
      </c>
      <c r="E256">
        <f t="shared" si="3"/>
        <v>6</v>
      </c>
      <c r="F256">
        <v>0</v>
      </c>
    </row>
    <row r="257" spans="2:6" x14ac:dyDescent="0.2">
      <c r="B257" s="1" t="s">
        <v>15</v>
      </c>
      <c r="C257">
        <v>2003</v>
      </c>
      <c r="D257" t="s">
        <v>250</v>
      </c>
      <c r="E257">
        <f t="shared" si="3"/>
        <v>6</v>
      </c>
      <c r="F257">
        <v>0</v>
      </c>
    </row>
    <row r="258" spans="2:6" x14ac:dyDescent="0.2">
      <c r="B258" s="1" t="s">
        <v>15</v>
      </c>
      <c r="C258">
        <v>2008</v>
      </c>
      <c r="D258" t="s">
        <v>266</v>
      </c>
      <c r="E258">
        <f t="shared" si="3"/>
        <v>6</v>
      </c>
      <c r="F258">
        <v>0</v>
      </c>
    </row>
    <row r="259" spans="2:6" x14ac:dyDescent="0.2">
      <c r="B259" t="s">
        <v>15</v>
      </c>
      <c r="C259">
        <v>2013</v>
      </c>
      <c r="D259" t="s">
        <v>250</v>
      </c>
      <c r="E259">
        <f t="shared" si="3"/>
        <v>6</v>
      </c>
      <c r="F259">
        <v>0</v>
      </c>
    </row>
    <row r="260" spans="2:6" x14ac:dyDescent="0.2">
      <c r="B260" s="1" t="s">
        <v>125</v>
      </c>
      <c r="C260">
        <v>1992</v>
      </c>
      <c r="D260" t="s">
        <v>258</v>
      </c>
      <c r="E260">
        <f t="shared" si="3"/>
        <v>9</v>
      </c>
      <c r="F260">
        <v>1</v>
      </c>
    </row>
    <row r="261" spans="2:6" x14ac:dyDescent="0.2">
      <c r="B261" s="1" t="s">
        <v>125</v>
      </c>
      <c r="C261">
        <v>2000</v>
      </c>
      <c r="D261" t="s">
        <v>250</v>
      </c>
      <c r="E261">
        <f t="shared" si="3"/>
        <v>9</v>
      </c>
      <c r="F261">
        <v>0</v>
      </c>
    </row>
    <row r="262" spans="2:6" x14ac:dyDescent="0.2">
      <c r="B262" s="1" t="s">
        <v>125</v>
      </c>
      <c r="C262">
        <v>2001</v>
      </c>
      <c r="D262" t="s">
        <v>256</v>
      </c>
      <c r="E262">
        <f t="shared" si="3"/>
        <v>9</v>
      </c>
      <c r="F262">
        <v>0</v>
      </c>
    </row>
    <row r="263" spans="2:6" x14ac:dyDescent="0.2">
      <c r="B263" s="1" t="s">
        <v>125</v>
      </c>
      <c r="C263">
        <v>2005</v>
      </c>
      <c r="D263" t="s">
        <v>294</v>
      </c>
      <c r="E263">
        <f t="shared" si="3"/>
        <v>9</v>
      </c>
      <c r="F263">
        <v>0</v>
      </c>
    </row>
    <row r="264" spans="2:6" x14ac:dyDescent="0.2">
      <c r="B264" s="1" t="s">
        <v>125</v>
      </c>
      <c r="C264">
        <v>2007</v>
      </c>
      <c r="D264" t="s">
        <v>264</v>
      </c>
      <c r="E264">
        <f t="shared" ref="E264:E327" si="4">COUNTIF(B$8:B$347,B264)</f>
        <v>9</v>
      </c>
      <c r="F264">
        <v>0</v>
      </c>
    </row>
    <row r="265" spans="2:6" x14ac:dyDescent="0.2">
      <c r="B265" s="1" t="s">
        <v>125</v>
      </c>
      <c r="C265">
        <v>2008</v>
      </c>
      <c r="D265" t="s">
        <v>250</v>
      </c>
      <c r="E265">
        <f t="shared" si="4"/>
        <v>9</v>
      </c>
      <c r="F265">
        <v>0</v>
      </c>
    </row>
    <row r="266" spans="2:6" x14ac:dyDescent="0.2">
      <c r="B266" s="1" t="s">
        <v>125</v>
      </c>
      <c r="C266">
        <v>2010</v>
      </c>
      <c r="D266" t="s">
        <v>258</v>
      </c>
      <c r="E266">
        <f t="shared" si="4"/>
        <v>9</v>
      </c>
      <c r="F266">
        <v>0</v>
      </c>
    </row>
    <row r="267" spans="2:6" x14ac:dyDescent="0.2">
      <c r="B267" t="s">
        <v>125</v>
      </c>
      <c r="C267">
        <v>2011</v>
      </c>
      <c r="D267" t="s">
        <v>250</v>
      </c>
      <c r="E267">
        <f t="shared" si="4"/>
        <v>9</v>
      </c>
      <c r="F267">
        <v>0</v>
      </c>
    </row>
    <row r="268" spans="2:6" x14ac:dyDescent="0.2">
      <c r="B268" t="s">
        <v>125</v>
      </c>
      <c r="C268">
        <v>2013</v>
      </c>
      <c r="D268" t="s">
        <v>256</v>
      </c>
      <c r="E268">
        <f t="shared" si="4"/>
        <v>9</v>
      </c>
      <c r="F268">
        <v>0</v>
      </c>
    </row>
    <row r="269" spans="2:6" x14ac:dyDescent="0.2">
      <c r="B269" s="1" t="s">
        <v>263</v>
      </c>
      <c r="C269">
        <v>2009</v>
      </c>
      <c r="D269" t="s">
        <v>270</v>
      </c>
      <c r="E269">
        <f t="shared" si="4"/>
        <v>1</v>
      </c>
      <c r="F269">
        <v>1</v>
      </c>
    </row>
    <row r="270" spans="2:6" x14ac:dyDescent="0.2">
      <c r="B270" s="97" t="s">
        <v>126</v>
      </c>
      <c r="C270" s="97">
        <v>2014</v>
      </c>
      <c r="D270" s="96" t="s">
        <v>295</v>
      </c>
      <c r="E270">
        <f t="shared" si="4"/>
        <v>2</v>
      </c>
      <c r="F270" s="97">
        <v>0</v>
      </c>
    </row>
    <row r="271" spans="2:6" x14ac:dyDescent="0.2">
      <c r="B271" s="1" t="s">
        <v>126</v>
      </c>
      <c r="C271">
        <v>2008</v>
      </c>
      <c r="D271" t="s">
        <v>293</v>
      </c>
      <c r="E271">
        <f t="shared" si="4"/>
        <v>2</v>
      </c>
      <c r="F271">
        <v>1</v>
      </c>
    </row>
    <row r="272" spans="2:6" x14ac:dyDescent="0.2">
      <c r="B272" s="1" t="s">
        <v>127</v>
      </c>
      <c r="C272">
        <v>1986</v>
      </c>
      <c r="D272" t="s">
        <v>260</v>
      </c>
      <c r="E272">
        <f t="shared" si="4"/>
        <v>12</v>
      </c>
      <c r="F272">
        <v>1</v>
      </c>
    </row>
    <row r="273" spans="2:6" x14ac:dyDescent="0.2">
      <c r="B273" s="1" t="s">
        <v>127</v>
      </c>
      <c r="C273">
        <v>1993</v>
      </c>
      <c r="D273" t="s">
        <v>260</v>
      </c>
      <c r="E273">
        <f t="shared" si="4"/>
        <v>12</v>
      </c>
      <c r="F273">
        <v>0</v>
      </c>
    </row>
    <row r="274" spans="2:6" x14ac:dyDescent="0.2">
      <c r="B274" s="30" t="s">
        <v>127</v>
      </c>
      <c r="C274">
        <v>1997</v>
      </c>
      <c r="D274" t="s">
        <v>258</v>
      </c>
      <c r="E274">
        <f t="shared" si="4"/>
        <v>12</v>
      </c>
      <c r="F274">
        <v>0</v>
      </c>
    </row>
    <row r="275" spans="2:6" x14ac:dyDescent="0.2">
      <c r="B275" s="30" t="s">
        <v>127</v>
      </c>
      <c r="C275">
        <v>1999</v>
      </c>
      <c r="D275" t="s">
        <v>296</v>
      </c>
      <c r="E275">
        <f t="shared" si="4"/>
        <v>12</v>
      </c>
      <c r="F275">
        <v>0</v>
      </c>
    </row>
    <row r="276" spans="2:6" x14ac:dyDescent="0.2">
      <c r="B276" s="1" t="s">
        <v>127</v>
      </c>
      <c r="C276">
        <v>2005</v>
      </c>
      <c r="D276" t="s">
        <v>294</v>
      </c>
      <c r="E276">
        <f t="shared" si="4"/>
        <v>12</v>
      </c>
      <c r="F276">
        <v>0</v>
      </c>
    </row>
    <row r="277" spans="2:6" x14ac:dyDescent="0.2">
      <c r="B277" s="1" t="s">
        <v>127</v>
      </c>
      <c r="C277">
        <v>2006</v>
      </c>
      <c r="D277" t="s">
        <v>294</v>
      </c>
      <c r="E277">
        <f t="shared" si="4"/>
        <v>12</v>
      </c>
      <c r="F277">
        <v>0</v>
      </c>
    </row>
    <row r="278" spans="2:6" x14ac:dyDescent="0.2">
      <c r="B278" s="1" t="s">
        <v>127</v>
      </c>
      <c r="C278">
        <v>2008</v>
      </c>
      <c r="D278" t="s">
        <v>294</v>
      </c>
      <c r="E278">
        <f t="shared" si="4"/>
        <v>12</v>
      </c>
      <c r="F278">
        <v>0</v>
      </c>
    </row>
    <row r="279" spans="2:6" x14ac:dyDescent="0.2">
      <c r="B279" s="1" t="s">
        <v>127</v>
      </c>
      <c r="C279">
        <v>2010</v>
      </c>
      <c r="D279" t="s">
        <v>294</v>
      </c>
      <c r="E279">
        <f t="shared" si="4"/>
        <v>12</v>
      </c>
      <c r="F279">
        <v>0</v>
      </c>
    </row>
    <row r="280" spans="2:6" x14ac:dyDescent="0.2">
      <c r="B280" t="s">
        <v>127</v>
      </c>
      <c r="C280">
        <v>2012</v>
      </c>
      <c r="D280" t="s">
        <v>260</v>
      </c>
      <c r="E280">
        <f t="shared" si="4"/>
        <v>12</v>
      </c>
      <c r="F280">
        <v>0</v>
      </c>
    </row>
    <row r="281" spans="2:6" x14ac:dyDescent="0.2">
      <c r="B281" t="s">
        <v>127</v>
      </c>
      <c r="C281">
        <v>2012</v>
      </c>
      <c r="D281" t="s">
        <v>275</v>
      </c>
      <c r="E281">
        <f t="shared" si="4"/>
        <v>12</v>
      </c>
      <c r="F281">
        <v>0</v>
      </c>
    </row>
    <row r="282" spans="2:6" x14ac:dyDescent="0.2">
      <c r="B282" t="s">
        <v>127</v>
      </c>
      <c r="C282">
        <v>2013</v>
      </c>
      <c r="D282" t="s">
        <v>295</v>
      </c>
      <c r="E282">
        <f t="shared" si="4"/>
        <v>12</v>
      </c>
      <c r="F282">
        <v>0</v>
      </c>
    </row>
    <row r="283" spans="2:6" x14ac:dyDescent="0.2">
      <c r="B283" s="97" t="s">
        <v>127</v>
      </c>
      <c r="C283" s="97">
        <v>2014</v>
      </c>
      <c r="D283" s="96" t="s">
        <v>485</v>
      </c>
      <c r="E283">
        <f t="shared" si="4"/>
        <v>12</v>
      </c>
      <c r="F283" s="97">
        <v>0</v>
      </c>
    </row>
    <row r="284" spans="2:6" x14ac:dyDescent="0.2">
      <c r="B284" s="1" t="s">
        <v>129</v>
      </c>
      <c r="C284">
        <v>2008</v>
      </c>
      <c r="D284" t="s">
        <v>294</v>
      </c>
      <c r="E284">
        <f t="shared" si="4"/>
        <v>3</v>
      </c>
      <c r="F284">
        <v>1</v>
      </c>
    </row>
    <row r="285" spans="2:6" x14ac:dyDescent="0.2">
      <c r="B285" t="s">
        <v>129</v>
      </c>
      <c r="C285">
        <v>2013</v>
      </c>
      <c r="D285" t="s">
        <v>273</v>
      </c>
      <c r="E285">
        <f t="shared" si="4"/>
        <v>3</v>
      </c>
      <c r="F285">
        <v>0</v>
      </c>
    </row>
    <row r="286" spans="2:6" x14ac:dyDescent="0.2">
      <c r="B286" t="s">
        <v>129</v>
      </c>
      <c r="C286">
        <v>2013</v>
      </c>
      <c r="D286" t="s">
        <v>295</v>
      </c>
      <c r="E286">
        <f t="shared" si="4"/>
        <v>3</v>
      </c>
      <c r="F286">
        <v>0</v>
      </c>
    </row>
    <row r="287" spans="2:6" x14ac:dyDescent="0.2">
      <c r="B287" s="1" t="s">
        <v>130</v>
      </c>
      <c r="C287">
        <v>1998</v>
      </c>
      <c r="D287" t="s">
        <v>293</v>
      </c>
      <c r="E287">
        <f t="shared" si="4"/>
        <v>2</v>
      </c>
      <c r="F287">
        <v>1</v>
      </c>
    </row>
    <row r="288" spans="2:6" x14ac:dyDescent="0.2">
      <c r="B288" s="1" t="s">
        <v>130</v>
      </c>
      <c r="C288">
        <v>2003</v>
      </c>
      <c r="D288" t="s">
        <v>294</v>
      </c>
      <c r="E288">
        <f t="shared" si="4"/>
        <v>2</v>
      </c>
      <c r="F288">
        <v>0</v>
      </c>
    </row>
    <row r="289" spans="2:8" x14ac:dyDescent="0.2">
      <c r="B289" s="1" t="s">
        <v>93</v>
      </c>
      <c r="C289">
        <v>1987</v>
      </c>
      <c r="D289" t="s">
        <v>294</v>
      </c>
      <c r="E289">
        <f t="shared" si="4"/>
        <v>2</v>
      </c>
      <c r="F289">
        <v>1</v>
      </c>
    </row>
    <row r="290" spans="2:8" x14ac:dyDescent="0.2">
      <c r="B290" s="1" t="s">
        <v>93</v>
      </c>
      <c r="C290">
        <v>2006</v>
      </c>
      <c r="D290" t="s">
        <v>250</v>
      </c>
      <c r="E290">
        <f t="shared" si="4"/>
        <v>2</v>
      </c>
      <c r="F290">
        <v>0</v>
      </c>
    </row>
    <row r="291" spans="2:8" x14ac:dyDescent="0.2">
      <c r="B291" s="1" t="s">
        <v>131</v>
      </c>
      <c r="C291">
        <v>1990</v>
      </c>
      <c r="D291" t="s">
        <v>294</v>
      </c>
      <c r="E291">
        <f t="shared" si="4"/>
        <v>1</v>
      </c>
      <c r="F291">
        <v>1</v>
      </c>
    </row>
    <row r="292" spans="2:8" x14ac:dyDescent="0.2">
      <c r="B292" s="1" t="s">
        <v>132</v>
      </c>
      <c r="C292">
        <v>2006</v>
      </c>
      <c r="D292" t="s">
        <v>295</v>
      </c>
      <c r="E292">
        <f t="shared" si="4"/>
        <v>1</v>
      </c>
      <c r="F292">
        <v>1</v>
      </c>
    </row>
    <row r="293" spans="2:8" x14ac:dyDescent="0.2">
      <c r="B293" t="s">
        <v>43</v>
      </c>
      <c r="C293">
        <v>2012</v>
      </c>
      <c r="D293" t="s">
        <v>294</v>
      </c>
      <c r="E293">
        <f t="shared" si="4"/>
        <v>1</v>
      </c>
      <c r="F293">
        <v>1</v>
      </c>
    </row>
    <row r="294" spans="2:8" x14ac:dyDescent="0.2">
      <c r="B294" s="1" t="s">
        <v>133</v>
      </c>
      <c r="C294">
        <v>1992</v>
      </c>
      <c r="D294" t="s">
        <v>294</v>
      </c>
      <c r="E294">
        <f t="shared" si="4"/>
        <v>12</v>
      </c>
      <c r="F294">
        <v>1</v>
      </c>
    </row>
    <row r="295" spans="2:8" x14ac:dyDescent="0.2">
      <c r="B295" s="1" t="s">
        <v>133</v>
      </c>
      <c r="C295">
        <v>1994</v>
      </c>
      <c r="D295" t="s">
        <v>294</v>
      </c>
      <c r="E295">
        <f t="shared" si="4"/>
        <v>12</v>
      </c>
      <c r="F295">
        <v>0</v>
      </c>
      <c r="H295" t="s">
        <v>298</v>
      </c>
    </row>
    <row r="296" spans="2:8" x14ac:dyDescent="0.2">
      <c r="B296" s="1" t="s">
        <v>133</v>
      </c>
      <c r="C296">
        <v>1995</v>
      </c>
      <c r="D296" t="s">
        <v>294</v>
      </c>
      <c r="E296">
        <f t="shared" si="4"/>
        <v>12</v>
      </c>
      <c r="F296">
        <v>0</v>
      </c>
    </row>
    <row r="297" spans="2:8" x14ac:dyDescent="0.2">
      <c r="B297" s="1" t="s">
        <v>133</v>
      </c>
      <c r="C297">
        <v>1996</v>
      </c>
      <c r="D297" t="s">
        <v>294</v>
      </c>
      <c r="E297">
        <f t="shared" si="4"/>
        <v>12</v>
      </c>
      <c r="F297">
        <v>0</v>
      </c>
    </row>
    <row r="298" spans="2:8" x14ac:dyDescent="0.2">
      <c r="B298" s="30" t="s">
        <v>133</v>
      </c>
      <c r="C298">
        <v>1999</v>
      </c>
      <c r="D298" t="s">
        <v>151</v>
      </c>
      <c r="E298">
        <f t="shared" si="4"/>
        <v>12</v>
      </c>
      <c r="F298">
        <v>0</v>
      </c>
    </row>
    <row r="299" spans="2:8" x14ac:dyDescent="0.2">
      <c r="B299" s="1" t="s">
        <v>133</v>
      </c>
      <c r="C299">
        <v>2003</v>
      </c>
      <c r="D299" s="3" t="s">
        <v>294</v>
      </c>
      <c r="E299">
        <f t="shared" si="4"/>
        <v>12</v>
      </c>
      <c r="F299">
        <v>0</v>
      </c>
    </row>
    <row r="300" spans="2:8" x14ac:dyDescent="0.2">
      <c r="B300" s="1" t="s">
        <v>133</v>
      </c>
      <c r="C300">
        <v>2004</v>
      </c>
      <c r="D300" t="s">
        <v>296</v>
      </c>
      <c r="E300">
        <f t="shared" si="4"/>
        <v>12</v>
      </c>
      <c r="F300">
        <v>0</v>
      </c>
    </row>
    <row r="301" spans="2:8" x14ac:dyDescent="0.2">
      <c r="B301" s="1" t="s">
        <v>133</v>
      </c>
      <c r="C301">
        <v>2006</v>
      </c>
      <c r="D301" t="s">
        <v>295</v>
      </c>
      <c r="E301">
        <f t="shared" si="4"/>
        <v>12</v>
      </c>
      <c r="F301">
        <v>0</v>
      </c>
    </row>
    <row r="302" spans="2:8" x14ac:dyDescent="0.2">
      <c r="B302" s="1" t="s">
        <v>133</v>
      </c>
      <c r="C302">
        <v>2007</v>
      </c>
      <c r="D302" t="s">
        <v>295</v>
      </c>
      <c r="E302">
        <f t="shared" si="4"/>
        <v>12</v>
      </c>
      <c r="F302">
        <v>0</v>
      </c>
    </row>
    <row r="303" spans="2:8" x14ac:dyDescent="0.2">
      <c r="B303" s="1" t="s">
        <v>133</v>
      </c>
      <c r="C303">
        <v>2010</v>
      </c>
      <c r="D303" s="3" t="s">
        <v>294</v>
      </c>
      <c r="E303">
        <f t="shared" si="4"/>
        <v>12</v>
      </c>
      <c r="F303">
        <v>0</v>
      </c>
    </row>
    <row r="304" spans="2:8" x14ac:dyDescent="0.2">
      <c r="B304" t="s">
        <v>133</v>
      </c>
      <c r="C304">
        <v>2012</v>
      </c>
      <c r="D304" s="3" t="s">
        <v>294</v>
      </c>
      <c r="E304">
        <f t="shared" si="4"/>
        <v>12</v>
      </c>
      <c r="F304">
        <v>0</v>
      </c>
    </row>
    <row r="305" spans="2:6" x14ac:dyDescent="0.2">
      <c r="B305" t="s">
        <v>133</v>
      </c>
      <c r="C305">
        <v>2013</v>
      </c>
      <c r="D305" t="s">
        <v>293</v>
      </c>
      <c r="E305">
        <f t="shared" si="4"/>
        <v>12</v>
      </c>
      <c r="F305">
        <v>0</v>
      </c>
    </row>
    <row r="306" spans="2:6" x14ac:dyDescent="0.2">
      <c r="B306" s="1" t="s">
        <v>16</v>
      </c>
      <c r="C306">
        <v>1987</v>
      </c>
      <c r="D306" t="s">
        <v>296</v>
      </c>
      <c r="E306">
        <f t="shared" si="4"/>
        <v>1</v>
      </c>
      <c r="F306">
        <v>1</v>
      </c>
    </row>
    <row r="307" spans="2:6" x14ac:dyDescent="0.2">
      <c r="B307" s="1" t="s">
        <v>248</v>
      </c>
      <c r="C307">
        <v>2009</v>
      </c>
      <c r="D307" t="s">
        <v>299</v>
      </c>
      <c r="E307">
        <f t="shared" si="4"/>
        <v>1</v>
      </c>
      <c r="F307">
        <v>1</v>
      </c>
    </row>
    <row r="308" spans="2:6" x14ac:dyDescent="0.2">
      <c r="B308" s="1" t="s">
        <v>134</v>
      </c>
      <c r="C308">
        <v>1988</v>
      </c>
      <c r="D308" s="3" t="s">
        <v>294</v>
      </c>
      <c r="E308">
        <f t="shared" si="4"/>
        <v>3</v>
      </c>
      <c r="F308">
        <v>1</v>
      </c>
    </row>
    <row r="309" spans="2:6" x14ac:dyDescent="0.2">
      <c r="B309" s="1" t="s">
        <v>134</v>
      </c>
      <c r="C309">
        <v>1998</v>
      </c>
      <c r="D309" s="3" t="s">
        <v>294</v>
      </c>
      <c r="E309">
        <f t="shared" si="4"/>
        <v>3</v>
      </c>
      <c r="F309">
        <v>0</v>
      </c>
    </row>
    <row r="310" spans="2:6" x14ac:dyDescent="0.2">
      <c r="B310" t="s">
        <v>134</v>
      </c>
      <c r="C310">
        <v>2013</v>
      </c>
      <c r="D310" s="3" t="s">
        <v>295</v>
      </c>
      <c r="E310">
        <f t="shared" si="4"/>
        <v>3</v>
      </c>
      <c r="F310">
        <v>0</v>
      </c>
    </row>
    <row r="311" spans="2:6" x14ac:dyDescent="0.2">
      <c r="B311" s="1" t="s">
        <v>71</v>
      </c>
      <c r="C311">
        <v>1987</v>
      </c>
      <c r="D311" s="3" t="s">
        <v>294</v>
      </c>
      <c r="E311">
        <f t="shared" si="4"/>
        <v>1</v>
      </c>
      <c r="F311">
        <v>1</v>
      </c>
    </row>
    <row r="312" spans="2:6" x14ac:dyDescent="0.2">
      <c r="B312" s="1" t="s">
        <v>83</v>
      </c>
      <c r="C312">
        <v>1988</v>
      </c>
      <c r="D312" s="3" t="s">
        <v>294</v>
      </c>
      <c r="E312">
        <f t="shared" si="4"/>
        <v>1</v>
      </c>
      <c r="F312">
        <v>1</v>
      </c>
    </row>
    <row r="313" spans="2:6" x14ac:dyDescent="0.2">
      <c r="B313" s="1" t="s">
        <v>45</v>
      </c>
      <c r="C313">
        <v>1993</v>
      </c>
      <c r="D313" s="3" t="s">
        <v>294</v>
      </c>
      <c r="E313">
        <f t="shared" si="4"/>
        <v>3</v>
      </c>
      <c r="F313">
        <v>1</v>
      </c>
    </row>
    <row r="314" spans="2:6" x14ac:dyDescent="0.2">
      <c r="B314" s="1" t="s">
        <v>45</v>
      </c>
      <c r="C314">
        <v>1998</v>
      </c>
      <c r="D314" s="3" t="s">
        <v>294</v>
      </c>
      <c r="E314">
        <f t="shared" si="4"/>
        <v>3</v>
      </c>
      <c r="F314">
        <v>0</v>
      </c>
    </row>
    <row r="315" spans="2:6" x14ac:dyDescent="0.2">
      <c r="B315" s="1" t="s">
        <v>45</v>
      </c>
      <c r="C315">
        <v>2003</v>
      </c>
      <c r="D315" s="3" t="s">
        <v>294</v>
      </c>
      <c r="E315">
        <f t="shared" si="4"/>
        <v>3</v>
      </c>
      <c r="F315">
        <v>0</v>
      </c>
    </row>
    <row r="316" spans="2:6" x14ac:dyDescent="0.2">
      <c r="B316" s="1" t="s">
        <v>46</v>
      </c>
      <c r="C316">
        <v>2000</v>
      </c>
      <c r="D316" s="3" t="s">
        <v>294</v>
      </c>
      <c r="E316">
        <f t="shared" si="4"/>
        <v>1</v>
      </c>
      <c r="F316">
        <v>1</v>
      </c>
    </row>
    <row r="317" spans="2:6" x14ac:dyDescent="0.2">
      <c r="B317" s="1" t="s">
        <v>135</v>
      </c>
      <c r="C317">
        <v>1988</v>
      </c>
      <c r="D317" s="3" t="s">
        <v>294</v>
      </c>
      <c r="E317">
        <f t="shared" si="4"/>
        <v>11</v>
      </c>
      <c r="F317">
        <v>1</v>
      </c>
    </row>
    <row r="318" spans="2:6" x14ac:dyDescent="0.2">
      <c r="B318" s="1" t="s">
        <v>135</v>
      </c>
      <c r="C318">
        <v>1995</v>
      </c>
      <c r="D318" s="3" t="s">
        <v>294</v>
      </c>
      <c r="E318">
        <f t="shared" si="4"/>
        <v>11</v>
      </c>
      <c r="F318">
        <v>0</v>
      </c>
    </row>
    <row r="319" spans="2:6" x14ac:dyDescent="0.2">
      <c r="B319" s="31" t="s">
        <v>135</v>
      </c>
      <c r="C319">
        <v>1995</v>
      </c>
      <c r="D319" s="3" t="s">
        <v>294</v>
      </c>
      <c r="E319">
        <f t="shared" si="4"/>
        <v>11</v>
      </c>
      <c r="F319">
        <v>0</v>
      </c>
    </row>
    <row r="320" spans="2:6" x14ac:dyDescent="0.2">
      <c r="B320" s="1" t="s">
        <v>135</v>
      </c>
      <c r="C320">
        <v>2000</v>
      </c>
      <c r="D320" s="3" t="s">
        <v>295</v>
      </c>
      <c r="E320">
        <f t="shared" si="4"/>
        <v>11</v>
      </c>
      <c r="F320">
        <v>0</v>
      </c>
    </row>
    <row r="321" spans="2:6" x14ac:dyDescent="0.2">
      <c r="B321" s="1" t="s">
        <v>135</v>
      </c>
      <c r="C321">
        <v>2004</v>
      </c>
      <c r="D321" s="3" t="s">
        <v>294</v>
      </c>
      <c r="E321">
        <f t="shared" si="4"/>
        <v>11</v>
      </c>
      <c r="F321">
        <v>0</v>
      </c>
    </row>
    <row r="322" spans="2:6" x14ac:dyDescent="0.2">
      <c r="B322" s="1" t="s">
        <v>135</v>
      </c>
      <c r="C322">
        <v>2006</v>
      </c>
      <c r="D322" s="3" t="s">
        <v>294</v>
      </c>
      <c r="E322">
        <f t="shared" si="4"/>
        <v>11</v>
      </c>
      <c r="F322">
        <v>0</v>
      </c>
    </row>
    <row r="323" spans="2:6" x14ac:dyDescent="0.2">
      <c r="B323" s="1" t="s">
        <v>135</v>
      </c>
      <c r="C323">
        <v>2007</v>
      </c>
      <c r="D323" s="3" t="s">
        <v>294</v>
      </c>
      <c r="E323">
        <f t="shared" si="4"/>
        <v>11</v>
      </c>
      <c r="F323">
        <v>0</v>
      </c>
    </row>
    <row r="324" spans="2:6" x14ac:dyDescent="0.2">
      <c r="B324" s="1" t="s">
        <v>135</v>
      </c>
      <c r="C324">
        <v>2009</v>
      </c>
      <c r="D324" s="3" t="s">
        <v>293</v>
      </c>
      <c r="E324">
        <f t="shared" si="4"/>
        <v>11</v>
      </c>
      <c r="F324">
        <v>0</v>
      </c>
    </row>
    <row r="325" spans="2:6" x14ac:dyDescent="0.2">
      <c r="B325" t="s">
        <v>135</v>
      </c>
      <c r="C325">
        <v>2011</v>
      </c>
      <c r="D325" s="3" t="s">
        <v>293</v>
      </c>
      <c r="E325">
        <f t="shared" si="4"/>
        <v>11</v>
      </c>
      <c r="F325">
        <v>0</v>
      </c>
    </row>
    <row r="326" spans="2:6" x14ac:dyDescent="0.2">
      <c r="B326" t="s">
        <v>135</v>
      </c>
      <c r="C326">
        <v>2011</v>
      </c>
      <c r="D326" s="3" t="s">
        <v>275</v>
      </c>
      <c r="E326">
        <f t="shared" si="4"/>
        <v>11</v>
      </c>
      <c r="F326">
        <v>0</v>
      </c>
    </row>
    <row r="327" spans="2:6" x14ac:dyDescent="0.2">
      <c r="B327" s="97" t="s">
        <v>135</v>
      </c>
      <c r="C327" s="97">
        <v>2014</v>
      </c>
      <c r="D327" s="96" t="s">
        <v>295</v>
      </c>
      <c r="E327">
        <f t="shared" si="4"/>
        <v>11</v>
      </c>
      <c r="F327" s="97">
        <v>0</v>
      </c>
    </row>
    <row r="328" spans="2:6" x14ac:dyDescent="0.2">
      <c r="B328" s="1" t="s">
        <v>47</v>
      </c>
      <c r="C328">
        <v>2007</v>
      </c>
      <c r="D328" s="3" t="s">
        <v>294</v>
      </c>
      <c r="E328">
        <f t="shared" ref="E328:E347" si="5">COUNTIF(B$8:B$347,B328)</f>
        <v>1</v>
      </c>
      <c r="F328">
        <v>1</v>
      </c>
    </row>
    <row r="329" spans="2:6" x14ac:dyDescent="0.2">
      <c r="B329" s="1" t="s">
        <v>157</v>
      </c>
      <c r="C329">
        <v>1996</v>
      </c>
      <c r="D329" s="3" t="s">
        <v>299</v>
      </c>
      <c r="E329">
        <f t="shared" si="5"/>
        <v>2</v>
      </c>
      <c r="F329">
        <v>1</v>
      </c>
    </row>
    <row r="330" spans="2:6" x14ac:dyDescent="0.2">
      <c r="B330" s="1" t="s">
        <v>157</v>
      </c>
      <c r="C330">
        <v>2002</v>
      </c>
      <c r="D330" t="s">
        <v>294</v>
      </c>
      <c r="E330">
        <f t="shared" si="5"/>
        <v>2</v>
      </c>
      <c r="F330">
        <v>0</v>
      </c>
    </row>
    <row r="331" spans="2:6" x14ac:dyDescent="0.2">
      <c r="B331" s="30" t="s">
        <v>18</v>
      </c>
      <c r="C331">
        <v>1997</v>
      </c>
      <c r="D331" t="s">
        <v>294</v>
      </c>
      <c r="E331">
        <f t="shared" si="5"/>
        <v>3</v>
      </c>
      <c r="F331">
        <v>1</v>
      </c>
    </row>
    <row r="332" spans="2:6" x14ac:dyDescent="0.2">
      <c r="B332" s="1" t="s">
        <v>18</v>
      </c>
      <c r="C332">
        <v>2002</v>
      </c>
      <c r="D332" t="s">
        <v>275</v>
      </c>
      <c r="E332">
        <f t="shared" si="5"/>
        <v>3</v>
      </c>
      <c r="F332">
        <v>0</v>
      </c>
    </row>
    <row r="333" spans="2:6" x14ac:dyDescent="0.2">
      <c r="B333" s="1" t="s">
        <v>18</v>
      </c>
      <c r="C333">
        <v>2005</v>
      </c>
      <c r="D333" s="3" t="s">
        <v>294</v>
      </c>
      <c r="E333">
        <f t="shared" si="5"/>
        <v>3</v>
      </c>
      <c r="F333">
        <v>0</v>
      </c>
    </row>
    <row r="334" spans="2:6" x14ac:dyDescent="0.2">
      <c r="B334" s="1" t="s">
        <v>85</v>
      </c>
      <c r="C334">
        <v>1991</v>
      </c>
      <c r="D334" t="s">
        <v>295</v>
      </c>
      <c r="E334">
        <f t="shared" si="5"/>
        <v>3</v>
      </c>
      <c r="F334">
        <v>1</v>
      </c>
    </row>
    <row r="335" spans="2:6" x14ac:dyDescent="0.2">
      <c r="B335" s="30" t="s">
        <v>85</v>
      </c>
      <c r="C335">
        <v>1997</v>
      </c>
      <c r="D335" t="s">
        <v>275</v>
      </c>
      <c r="E335">
        <f t="shared" si="5"/>
        <v>3</v>
      </c>
      <c r="F335">
        <v>0</v>
      </c>
    </row>
    <row r="336" spans="2:6" x14ac:dyDescent="0.2">
      <c r="B336" t="s">
        <v>85</v>
      </c>
      <c r="C336">
        <v>2013</v>
      </c>
      <c r="D336" s="3" t="s">
        <v>260</v>
      </c>
      <c r="E336">
        <f t="shared" si="5"/>
        <v>3</v>
      </c>
      <c r="F336">
        <v>0</v>
      </c>
    </row>
    <row r="337" spans="2:6" x14ac:dyDescent="0.2">
      <c r="B337" s="1" t="s">
        <v>136</v>
      </c>
      <c r="C337">
        <v>1992</v>
      </c>
      <c r="D337" s="3" t="s">
        <v>294</v>
      </c>
      <c r="E337">
        <f t="shared" si="5"/>
        <v>6</v>
      </c>
      <c r="F337">
        <v>1</v>
      </c>
    </row>
    <row r="338" spans="2:6" x14ac:dyDescent="0.2">
      <c r="B338" s="1" t="s">
        <v>136</v>
      </c>
      <c r="C338">
        <v>1996</v>
      </c>
      <c r="D338" s="3" t="s">
        <v>293</v>
      </c>
      <c r="E338">
        <f t="shared" si="5"/>
        <v>6</v>
      </c>
      <c r="F338">
        <v>0</v>
      </c>
    </row>
    <row r="339" spans="2:6" x14ac:dyDescent="0.2">
      <c r="B339" s="1" t="s">
        <v>136</v>
      </c>
      <c r="C339">
        <v>2002</v>
      </c>
      <c r="D339" s="3" t="s">
        <v>294</v>
      </c>
      <c r="E339">
        <f t="shared" si="5"/>
        <v>6</v>
      </c>
      <c r="F339">
        <v>0</v>
      </c>
    </row>
    <row r="340" spans="2:6" x14ac:dyDescent="0.2">
      <c r="B340" s="1" t="s">
        <v>136</v>
      </c>
      <c r="C340">
        <v>2005</v>
      </c>
      <c r="D340" s="3" t="s">
        <v>295</v>
      </c>
      <c r="E340">
        <f t="shared" si="5"/>
        <v>6</v>
      </c>
      <c r="F340">
        <v>0</v>
      </c>
    </row>
    <row r="341" spans="2:6" x14ac:dyDescent="0.2">
      <c r="B341" s="1" t="s">
        <v>136</v>
      </c>
      <c r="C341">
        <v>2007</v>
      </c>
      <c r="D341" s="3" t="s">
        <v>293</v>
      </c>
      <c r="E341">
        <f t="shared" si="5"/>
        <v>6</v>
      </c>
      <c r="F341">
        <v>0</v>
      </c>
    </row>
    <row r="342" spans="2:6" x14ac:dyDescent="0.2">
      <c r="B342" t="s">
        <v>136</v>
      </c>
      <c r="C342">
        <v>2013</v>
      </c>
      <c r="D342" s="3" t="s">
        <v>295</v>
      </c>
      <c r="E342">
        <f t="shared" si="5"/>
        <v>6</v>
      </c>
      <c r="F342">
        <v>0</v>
      </c>
    </row>
    <row r="343" spans="2:6" x14ac:dyDescent="0.2">
      <c r="B343" s="1" t="s">
        <v>167</v>
      </c>
      <c r="C343">
        <v>1988</v>
      </c>
      <c r="D343" s="3" t="s">
        <v>294</v>
      </c>
      <c r="E343">
        <f t="shared" si="5"/>
        <v>5</v>
      </c>
      <c r="F343">
        <v>1</v>
      </c>
    </row>
    <row r="344" spans="2:6" x14ac:dyDescent="0.2">
      <c r="B344" s="1" t="s">
        <v>167</v>
      </c>
      <c r="C344">
        <v>1994</v>
      </c>
      <c r="D344" s="3" t="s">
        <v>275</v>
      </c>
      <c r="E344">
        <f t="shared" si="5"/>
        <v>5</v>
      </c>
      <c r="F344">
        <v>0</v>
      </c>
    </row>
    <row r="345" spans="2:6" x14ac:dyDescent="0.2">
      <c r="B345" s="30" t="s">
        <v>167</v>
      </c>
      <c r="C345">
        <v>1999</v>
      </c>
      <c r="D345" s="3" t="s">
        <v>294</v>
      </c>
      <c r="E345">
        <f t="shared" si="5"/>
        <v>5</v>
      </c>
      <c r="F345">
        <v>0</v>
      </c>
    </row>
    <row r="346" spans="2:6" x14ac:dyDescent="0.2">
      <c r="B346" s="1" t="s">
        <v>167</v>
      </c>
      <c r="C346">
        <v>2005</v>
      </c>
      <c r="D346" s="3" t="s">
        <v>294</v>
      </c>
      <c r="E346">
        <f t="shared" si="5"/>
        <v>5</v>
      </c>
      <c r="F346">
        <v>0</v>
      </c>
    </row>
    <row r="347" spans="2:6" x14ac:dyDescent="0.2">
      <c r="B347" s="1" t="s">
        <v>167</v>
      </c>
      <c r="C347">
        <v>2010</v>
      </c>
      <c r="D347" s="3" t="s">
        <v>294</v>
      </c>
      <c r="E347">
        <f t="shared" si="5"/>
        <v>5</v>
      </c>
      <c r="F347">
        <v>0</v>
      </c>
    </row>
    <row r="348" spans="2:6" x14ac:dyDescent="0.2">
      <c r="E348" s="40">
        <f>COUNT(E8:E347)</f>
        <v>340</v>
      </c>
      <c r="F348" s="40">
        <f>SUM(F8:F347)</f>
        <v>92</v>
      </c>
    </row>
  </sheetData>
  <autoFilter ref="A7:H348">
    <sortState ref="A8:H348">
      <sortCondition ref="B7:B348"/>
    </sortState>
  </autoFilter>
  <sortState ref="B8:C332">
    <sortCondition ref="B8:B332"/>
    <sortCondition ref="C8:C332"/>
  </sortState>
  <hyperlinks>
    <hyperlink ref="B2" r:id="rId1"/>
  </hyperlinks>
  <pageMargins left="0.75" right="0.75" top="1" bottom="1" header="0.5" footer="0.5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>
      <pane ySplit="7" topLeftCell="A122" activePane="bottomLeft" state="frozen"/>
      <selection pane="bottomLeft" activeCell="D147" sqref="D147"/>
    </sheetView>
  </sheetViews>
  <sheetFormatPr baseColWidth="10" defaultColWidth="11" defaultRowHeight="16" x14ac:dyDescent="0.2"/>
  <cols>
    <col min="1" max="1" width="16.6640625" customWidth="1"/>
    <col min="2" max="2" width="19.6640625" customWidth="1"/>
    <col min="4" max="4" width="62.1640625" customWidth="1"/>
    <col min="6" max="6" width="11.83203125" bestFit="1" customWidth="1"/>
    <col min="7" max="7" width="0" hidden="1" customWidth="1"/>
  </cols>
  <sheetData>
    <row r="1" spans="1:7" ht="24" x14ac:dyDescent="0.3">
      <c r="A1" s="4" t="s">
        <v>200</v>
      </c>
      <c r="B1" s="4"/>
      <c r="C1" s="3"/>
    </row>
    <row r="2" spans="1:7" x14ac:dyDescent="0.2">
      <c r="A2" s="3" t="s">
        <v>138</v>
      </c>
      <c r="B2" s="27" t="s">
        <v>201</v>
      </c>
      <c r="C2" s="3"/>
    </row>
    <row r="3" spans="1:7" x14ac:dyDescent="0.2">
      <c r="A3" s="5" t="s">
        <v>139</v>
      </c>
      <c r="B3" s="6" t="s">
        <v>141</v>
      </c>
    </row>
    <row r="4" spans="1:7" x14ac:dyDescent="0.2">
      <c r="A4" s="7"/>
      <c r="B4" s="8" t="s">
        <v>144</v>
      </c>
    </row>
    <row r="5" spans="1:7" x14ac:dyDescent="0.2">
      <c r="A5" s="9"/>
      <c r="B5" s="19" t="s">
        <v>140</v>
      </c>
    </row>
    <row r="6" spans="1:7" x14ac:dyDescent="0.2">
      <c r="A6" s="25" t="s">
        <v>242</v>
      </c>
      <c r="B6" t="s">
        <v>243</v>
      </c>
    </row>
    <row r="7" spans="1:7" ht="32" x14ac:dyDescent="0.2">
      <c r="A7" s="15" t="s">
        <v>3</v>
      </c>
      <c r="B7" s="15" t="s">
        <v>0</v>
      </c>
      <c r="C7" s="15" t="s">
        <v>1</v>
      </c>
      <c r="D7" s="15" t="s">
        <v>241</v>
      </c>
      <c r="E7" s="15" t="s">
        <v>182</v>
      </c>
      <c r="F7" s="15" t="s">
        <v>147</v>
      </c>
      <c r="G7" s="24" t="s">
        <v>148</v>
      </c>
    </row>
    <row r="8" spans="1:7" x14ac:dyDescent="0.2">
      <c r="A8" t="s">
        <v>154</v>
      </c>
      <c r="B8" t="s">
        <v>20</v>
      </c>
      <c r="C8" s="41">
        <v>1996</v>
      </c>
      <c r="D8" t="s">
        <v>202</v>
      </c>
      <c r="E8" s="97">
        <f t="shared" ref="E8:E39" si="0">COUNTIF(B$8:B$137,B8)</f>
        <v>7</v>
      </c>
      <c r="F8">
        <v>1</v>
      </c>
    </row>
    <row r="9" spans="1:7" x14ac:dyDescent="0.2">
      <c r="A9" t="s">
        <v>154</v>
      </c>
      <c r="B9" t="s">
        <v>20</v>
      </c>
      <c r="C9" s="41">
        <v>2002</v>
      </c>
      <c r="D9" t="s">
        <v>203</v>
      </c>
      <c r="E9" s="97">
        <f t="shared" si="0"/>
        <v>7</v>
      </c>
    </row>
    <row r="10" spans="1:7" x14ac:dyDescent="0.2">
      <c r="A10" t="s">
        <v>154</v>
      </c>
      <c r="B10" t="s">
        <v>20</v>
      </c>
      <c r="C10" s="41">
        <v>2003</v>
      </c>
      <c r="D10" t="s">
        <v>204</v>
      </c>
      <c r="E10" s="97">
        <f t="shared" si="0"/>
        <v>7</v>
      </c>
    </row>
    <row r="11" spans="1:7" x14ac:dyDescent="0.2">
      <c r="A11" t="s">
        <v>154</v>
      </c>
      <c r="B11" t="s">
        <v>20</v>
      </c>
      <c r="C11" s="41">
        <v>2004</v>
      </c>
      <c r="D11" t="s">
        <v>205</v>
      </c>
      <c r="E11" s="97">
        <f t="shared" si="0"/>
        <v>7</v>
      </c>
    </row>
    <row r="12" spans="1:7" x14ac:dyDescent="0.2">
      <c r="A12" t="s">
        <v>154</v>
      </c>
      <c r="B12" t="s">
        <v>20</v>
      </c>
      <c r="C12" s="41">
        <v>2005</v>
      </c>
      <c r="D12" t="s">
        <v>203</v>
      </c>
      <c r="E12" s="97">
        <f t="shared" si="0"/>
        <v>7</v>
      </c>
    </row>
    <row r="13" spans="1:7" x14ac:dyDescent="0.2">
      <c r="A13" t="s">
        <v>154</v>
      </c>
      <c r="B13" t="s">
        <v>20</v>
      </c>
      <c r="C13" s="41">
        <v>2008</v>
      </c>
      <c r="D13" t="s">
        <v>203</v>
      </c>
      <c r="E13" s="97">
        <f t="shared" si="0"/>
        <v>7</v>
      </c>
    </row>
    <row r="14" spans="1:7" x14ac:dyDescent="0.2">
      <c r="A14" t="s">
        <v>154</v>
      </c>
      <c r="B14" t="s">
        <v>20</v>
      </c>
      <c r="C14" s="41">
        <v>2012</v>
      </c>
      <c r="D14" t="s">
        <v>203</v>
      </c>
      <c r="E14" s="97">
        <f t="shared" si="0"/>
        <v>7</v>
      </c>
    </row>
    <row r="15" spans="1:7" x14ac:dyDescent="0.2">
      <c r="A15" s="3" t="s">
        <v>172</v>
      </c>
      <c r="B15" t="s">
        <v>381</v>
      </c>
      <c r="C15" s="42" t="s">
        <v>382</v>
      </c>
      <c r="D15" t="s">
        <v>383</v>
      </c>
      <c r="E15" s="97">
        <f t="shared" si="0"/>
        <v>1</v>
      </c>
      <c r="F15">
        <v>1</v>
      </c>
    </row>
    <row r="16" spans="1:7" x14ac:dyDescent="0.2">
      <c r="A16" t="s">
        <v>154</v>
      </c>
      <c r="B16" t="s">
        <v>21</v>
      </c>
      <c r="C16" s="41">
        <v>1996</v>
      </c>
      <c r="D16" t="s">
        <v>206</v>
      </c>
      <c r="E16" s="97">
        <f t="shared" si="0"/>
        <v>1</v>
      </c>
      <c r="F16">
        <v>1</v>
      </c>
    </row>
    <row r="17" spans="1:6" x14ac:dyDescent="0.2">
      <c r="A17" t="s">
        <v>154</v>
      </c>
      <c r="B17" t="s">
        <v>22</v>
      </c>
      <c r="C17" s="41">
        <v>1995</v>
      </c>
      <c r="D17" t="s">
        <v>207</v>
      </c>
      <c r="E17" s="97">
        <f t="shared" si="0"/>
        <v>1</v>
      </c>
      <c r="F17">
        <v>1</v>
      </c>
    </row>
    <row r="18" spans="1:6" x14ac:dyDescent="0.2">
      <c r="A18" s="3" t="s">
        <v>172</v>
      </c>
      <c r="B18" t="s">
        <v>50</v>
      </c>
      <c r="C18" s="41">
        <v>2001</v>
      </c>
      <c r="D18" t="s">
        <v>384</v>
      </c>
      <c r="E18" s="97">
        <f t="shared" si="0"/>
        <v>1</v>
      </c>
      <c r="F18">
        <v>1</v>
      </c>
    </row>
    <row r="19" spans="1:6" x14ac:dyDescent="0.2">
      <c r="A19" t="s">
        <v>87</v>
      </c>
      <c r="B19" t="s">
        <v>88</v>
      </c>
      <c r="C19" s="41">
        <v>2003</v>
      </c>
      <c r="D19" t="s">
        <v>385</v>
      </c>
      <c r="E19" s="97">
        <f t="shared" si="0"/>
        <v>3</v>
      </c>
      <c r="F19">
        <v>1</v>
      </c>
    </row>
    <row r="20" spans="1:6" x14ac:dyDescent="0.2">
      <c r="A20" t="s">
        <v>87</v>
      </c>
      <c r="B20" t="s">
        <v>88</v>
      </c>
      <c r="C20" s="41">
        <v>2007</v>
      </c>
      <c r="D20" t="s">
        <v>385</v>
      </c>
      <c r="E20" s="97">
        <f t="shared" si="0"/>
        <v>3</v>
      </c>
    </row>
    <row r="21" spans="1:6" x14ac:dyDescent="0.2">
      <c r="A21" t="s">
        <v>87</v>
      </c>
      <c r="B21" t="s">
        <v>88</v>
      </c>
      <c r="C21" s="41">
        <v>2012</v>
      </c>
      <c r="D21" t="s">
        <v>385</v>
      </c>
      <c r="E21" s="97">
        <f t="shared" si="0"/>
        <v>3</v>
      </c>
    </row>
    <row r="22" spans="1:6" x14ac:dyDescent="0.2">
      <c r="A22" t="s">
        <v>154</v>
      </c>
      <c r="B22" t="s">
        <v>386</v>
      </c>
      <c r="C22" s="41">
        <v>2001</v>
      </c>
      <c r="D22" t="s">
        <v>387</v>
      </c>
      <c r="E22" s="97">
        <f t="shared" si="0"/>
        <v>4</v>
      </c>
      <c r="F22">
        <v>1</v>
      </c>
    </row>
    <row r="23" spans="1:6" x14ac:dyDescent="0.2">
      <c r="A23" t="s">
        <v>154</v>
      </c>
      <c r="B23" t="s">
        <v>386</v>
      </c>
      <c r="C23" s="41">
        <v>2002</v>
      </c>
      <c r="D23" t="s">
        <v>388</v>
      </c>
      <c r="E23" s="97">
        <f t="shared" si="0"/>
        <v>4</v>
      </c>
    </row>
    <row r="24" spans="1:6" x14ac:dyDescent="0.2">
      <c r="A24" t="s">
        <v>154</v>
      </c>
      <c r="B24" t="s">
        <v>386</v>
      </c>
      <c r="C24" s="41">
        <v>2003</v>
      </c>
      <c r="D24" t="s">
        <v>389</v>
      </c>
      <c r="E24" s="97">
        <f t="shared" si="0"/>
        <v>4</v>
      </c>
    </row>
    <row r="25" spans="1:6" x14ac:dyDescent="0.2">
      <c r="A25" t="s">
        <v>154</v>
      </c>
      <c r="B25" t="s">
        <v>386</v>
      </c>
      <c r="C25" s="41">
        <v>2004</v>
      </c>
      <c r="D25" t="s">
        <v>390</v>
      </c>
      <c r="E25" s="97">
        <f t="shared" si="0"/>
        <v>4</v>
      </c>
    </row>
    <row r="26" spans="1:6" x14ac:dyDescent="0.2">
      <c r="A26" s="3" t="s">
        <v>172</v>
      </c>
      <c r="B26" t="s">
        <v>52</v>
      </c>
      <c r="C26" s="41" t="s">
        <v>391</v>
      </c>
      <c r="D26" t="s">
        <v>207</v>
      </c>
      <c r="E26" s="97">
        <f t="shared" si="0"/>
        <v>1</v>
      </c>
      <c r="F26">
        <v>1</v>
      </c>
    </row>
    <row r="27" spans="1:6" x14ac:dyDescent="0.2">
      <c r="A27" t="s">
        <v>154</v>
      </c>
      <c r="B27" t="s">
        <v>25</v>
      </c>
      <c r="C27" s="41">
        <v>1995</v>
      </c>
      <c r="D27" t="s">
        <v>209</v>
      </c>
      <c r="E27" s="97">
        <f t="shared" si="0"/>
        <v>5</v>
      </c>
      <c r="F27">
        <v>1</v>
      </c>
    </row>
    <row r="28" spans="1:6" x14ac:dyDescent="0.2">
      <c r="A28" t="s">
        <v>154</v>
      </c>
      <c r="B28" t="s">
        <v>25</v>
      </c>
      <c r="C28" s="41">
        <v>1997</v>
      </c>
      <c r="D28" t="s">
        <v>209</v>
      </c>
      <c r="E28" s="97">
        <f t="shared" si="0"/>
        <v>5</v>
      </c>
    </row>
    <row r="29" spans="1:6" x14ac:dyDescent="0.2">
      <c r="A29" t="s">
        <v>154</v>
      </c>
      <c r="B29" t="s">
        <v>25</v>
      </c>
      <c r="C29" s="41">
        <v>2001</v>
      </c>
      <c r="D29" t="s">
        <v>209</v>
      </c>
      <c r="E29" s="97">
        <f t="shared" si="0"/>
        <v>5</v>
      </c>
    </row>
    <row r="30" spans="1:6" x14ac:dyDescent="0.2">
      <c r="A30" t="s">
        <v>154</v>
      </c>
      <c r="B30" t="s">
        <v>25</v>
      </c>
      <c r="C30" s="41">
        <v>2003</v>
      </c>
      <c r="D30" t="s">
        <v>210</v>
      </c>
      <c r="E30" s="97">
        <f t="shared" si="0"/>
        <v>5</v>
      </c>
    </row>
    <row r="31" spans="1:6" x14ac:dyDescent="0.2">
      <c r="A31" t="s">
        <v>154</v>
      </c>
      <c r="B31" t="s">
        <v>25</v>
      </c>
      <c r="C31" s="41">
        <v>2007</v>
      </c>
      <c r="D31" t="s">
        <v>210</v>
      </c>
      <c r="E31" s="97">
        <f t="shared" si="0"/>
        <v>5</v>
      </c>
    </row>
    <row r="32" spans="1:6" x14ac:dyDescent="0.2">
      <c r="A32" t="s">
        <v>158</v>
      </c>
      <c r="B32" t="s">
        <v>7</v>
      </c>
      <c r="C32" s="41" t="s">
        <v>392</v>
      </c>
      <c r="D32" t="s">
        <v>211</v>
      </c>
      <c r="E32" s="97">
        <f t="shared" si="0"/>
        <v>1</v>
      </c>
      <c r="F32">
        <v>1</v>
      </c>
    </row>
    <row r="33" spans="1:6" x14ac:dyDescent="0.2">
      <c r="A33" t="s">
        <v>174</v>
      </c>
      <c r="B33" t="s">
        <v>175</v>
      </c>
      <c r="C33" s="41">
        <v>1985</v>
      </c>
      <c r="D33" t="s">
        <v>212</v>
      </c>
      <c r="E33" s="97">
        <f t="shared" si="0"/>
        <v>4</v>
      </c>
      <c r="F33">
        <v>1</v>
      </c>
    </row>
    <row r="34" spans="1:6" x14ac:dyDescent="0.2">
      <c r="A34" t="s">
        <v>174</v>
      </c>
      <c r="B34" t="s">
        <v>175</v>
      </c>
      <c r="C34" s="41">
        <v>1986</v>
      </c>
      <c r="D34" t="s">
        <v>212</v>
      </c>
      <c r="E34" s="97">
        <f t="shared" si="0"/>
        <v>4</v>
      </c>
    </row>
    <row r="35" spans="1:6" x14ac:dyDescent="0.2">
      <c r="A35" t="s">
        <v>174</v>
      </c>
      <c r="B35" t="s">
        <v>175</v>
      </c>
      <c r="C35" s="41">
        <v>1987</v>
      </c>
      <c r="D35" t="s">
        <v>212</v>
      </c>
      <c r="E35" s="97">
        <f t="shared" si="0"/>
        <v>4</v>
      </c>
    </row>
    <row r="36" spans="1:6" x14ac:dyDescent="0.2">
      <c r="A36" t="s">
        <v>174</v>
      </c>
      <c r="B36" t="s">
        <v>175</v>
      </c>
      <c r="C36" s="41">
        <v>1988</v>
      </c>
      <c r="D36" t="s">
        <v>212</v>
      </c>
      <c r="E36" s="97">
        <f t="shared" si="0"/>
        <v>4</v>
      </c>
    </row>
    <row r="37" spans="1:6" x14ac:dyDescent="0.2">
      <c r="B37" t="s">
        <v>57</v>
      </c>
      <c r="C37" s="41">
        <v>1994</v>
      </c>
      <c r="D37" t="s">
        <v>213</v>
      </c>
      <c r="E37" s="97">
        <f t="shared" si="0"/>
        <v>3</v>
      </c>
      <c r="F37">
        <v>1</v>
      </c>
    </row>
    <row r="38" spans="1:6" x14ac:dyDescent="0.2">
      <c r="B38" t="s">
        <v>57</v>
      </c>
      <c r="C38" s="41">
        <v>1995</v>
      </c>
      <c r="D38" t="s">
        <v>213</v>
      </c>
      <c r="E38" s="97">
        <f t="shared" si="0"/>
        <v>3</v>
      </c>
    </row>
    <row r="39" spans="1:6" x14ac:dyDescent="0.2">
      <c r="B39" t="s">
        <v>57</v>
      </c>
      <c r="C39" s="41">
        <v>1998</v>
      </c>
      <c r="D39" t="s">
        <v>213</v>
      </c>
      <c r="E39" s="97">
        <f t="shared" si="0"/>
        <v>3</v>
      </c>
    </row>
    <row r="40" spans="1:6" x14ac:dyDescent="0.2">
      <c r="B40" t="s">
        <v>108</v>
      </c>
      <c r="C40" s="41">
        <v>2011</v>
      </c>
      <c r="D40" t="s">
        <v>214</v>
      </c>
      <c r="E40" s="97">
        <f t="shared" ref="E40:E71" si="1">COUNTIF(B$8:B$137,B40)</f>
        <v>3</v>
      </c>
      <c r="F40">
        <v>1</v>
      </c>
    </row>
    <row r="41" spans="1:6" x14ac:dyDescent="0.2">
      <c r="B41" s="97" t="s">
        <v>108</v>
      </c>
      <c r="C41" s="100">
        <v>2011</v>
      </c>
      <c r="D41" s="97" t="s">
        <v>214</v>
      </c>
      <c r="E41" s="97">
        <f t="shared" si="1"/>
        <v>3</v>
      </c>
      <c r="F41" s="97"/>
    </row>
    <row r="42" spans="1:6" x14ac:dyDescent="0.2">
      <c r="B42" s="97" t="s">
        <v>108</v>
      </c>
      <c r="C42" s="100">
        <v>2013</v>
      </c>
      <c r="D42" s="97" t="s">
        <v>487</v>
      </c>
      <c r="E42" s="97">
        <f t="shared" si="1"/>
        <v>3</v>
      </c>
      <c r="F42" s="97"/>
    </row>
    <row r="43" spans="1:6" x14ac:dyDescent="0.2">
      <c r="B43" t="s">
        <v>111</v>
      </c>
      <c r="C43" s="41" t="s">
        <v>393</v>
      </c>
      <c r="D43" t="s">
        <v>215</v>
      </c>
      <c r="E43" s="97">
        <f t="shared" si="1"/>
        <v>5</v>
      </c>
      <c r="F43">
        <v>1</v>
      </c>
    </row>
    <row r="44" spans="1:6" x14ac:dyDescent="0.2">
      <c r="A44" t="s">
        <v>174</v>
      </c>
      <c r="B44" t="s">
        <v>111</v>
      </c>
      <c r="C44" s="41" t="s">
        <v>394</v>
      </c>
      <c r="D44" t="s">
        <v>215</v>
      </c>
      <c r="E44" s="97">
        <f t="shared" si="1"/>
        <v>5</v>
      </c>
    </row>
    <row r="45" spans="1:6" x14ac:dyDescent="0.2">
      <c r="A45" t="s">
        <v>174</v>
      </c>
      <c r="B45" t="s">
        <v>111</v>
      </c>
      <c r="C45" s="41" t="s">
        <v>395</v>
      </c>
      <c r="D45" t="s">
        <v>215</v>
      </c>
      <c r="E45" s="97">
        <f t="shared" si="1"/>
        <v>5</v>
      </c>
    </row>
    <row r="46" spans="1:6" x14ac:dyDescent="0.2">
      <c r="A46" t="s">
        <v>174</v>
      </c>
      <c r="B46" t="s">
        <v>111</v>
      </c>
      <c r="C46" s="41" t="s">
        <v>396</v>
      </c>
      <c r="D46" t="s">
        <v>215</v>
      </c>
      <c r="E46" s="97">
        <f t="shared" si="1"/>
        <v>5</v>
      </c>
    </row>
    <row r="47" spans="1:6" x14ac:dyDescent="0.2">
      <c r="A47" t="s">
        <v>174</v>
      </c>
      <c r="B47" t="s">
        <v>111</v>
      </c>
      <c r="C47" s="42" t="s">
        <v>382</v>
      </c>
      <c r="D47" t="s">
        <v>215</v>
      </c>
      <c r="E47" s="97">
        <f t="shared" si="1"/>
        <v>5</v>
      </c>
    </row>
    <row r="48" spans="1:6" x14ac:dyDescent="0.2">
      <c r="B48" t="s">
        <v>59</v>
      </c>
      <c r="C48" s="41">
        <v>2000</v>
      </c>
      <c r="D48" t="s">
        <v>216</v>
      </c>
      <c r="E48" s="97">
        <f t="shared" si="1"/>
        <v>1</v>
      </c>
      <c r="F48">
        <v>1</v>
      </c>
    </row>
    <row r="49" spans="1:6" x14ac:dyDescent="0.2">
      <c r="A49" s="3" t="s">
        <v>172</v>
      </c>
      <c r="B49" t="s">
        <v>60</v>
      </c>
      <c r="C49" s="41" t="s">
        <v>397</v>
      </c>
      <c r="D49" t="s">
        <v>203</v>
      </c>
      <c r="E49" s="97">
        <f t="shared" si="1"/>
        <v>1</v>
      </c>
      <c r="F49">
        <v>1</v>
      </c>
    </row>
    <row r="50" spans="1:6" x14ac:dyDescent="0.2">
      <c r="A50" t="s">
        <v>87</v>
      </c>
      <c r="B50" t="s">
        <v>89</v>
      </c>
      <c r="C50" s="41" t="s">
        <v>398</v>
      </c>
      <c r="D50" t="s">
        <v>217</v>
      </c>
      <c r="E50" s="97">
        <f t="shared" si="1"/>
        <v>1</v>
      </c>
      <c r="F50">
        <v>1</v>
      </c>
    </row>
    <row r="51" spans="1:6" x14ac:dyDescent="0.2">
      <c r="A51" t="s">
        <v>74</v>
      </c>
      <c r="B51" t="s">
        <v>79</v>
      </c>
      <c r="C51" s="41" t="s">
        <v>399</v>
      </c>
      <c r="D51" t="s">
        <v>218</v>
      </c>
      <c r="E51" s="97">
        <f t="shared" si="1"/>
        <v>2</v>
      </c>
      <c r="F51">
        <v>1</v>
      </c>
    </row>
    <row r="52" spans="1:6" x14ac:dyDescent="0.2">
      <c r="A52" t="s">
        <v>74</v>
      </c>
      <c r="B52" s="97" t="s">
        <v>79</v>
      </c>
      <c r="C52" s="100">
        <v>2012</v>
      </c>
      <c r="D52" s="97" t="s">
        <v>488</v>
      </c>
      <c r="E52" s="97">
        <f t="shared" si="1"/>
        <v>2</v>
      </c>
      <c r="F52" s="97"/>
    </row>
    <row r="53" spans="1:6" x14ac:dyDescent="0.2">
      <c r="A53" s="3" t="s">
        <v>172</v>
      </c>
      <c r="B53" t="s">
        <v>63</v>
      </c>
      <c r="C53" s="41">
        <v>1988</v>
      </c>
      <c r="D53" t="s">
        <v>207</v>
      </c>
      <c r="E53" s="97">
        <f t="shared" si="1"/>
        <v>22</v>
      </c>
      <c r="F53">
        <v>1</v>
      </c>
    </row>
    <row r="54" spans="1:6" x14ac:dyDescent="0.2">
      <c r="A54" s="3" t="s">
        <v>172</v>
      </c>
      <c r="B54" t="s">
        <v>63</v>
      </c>
      <c r="C54" s="41">
        <v>1990</v>
      </c>
      <c r="D54" t="s">
        <v>207</v>
      </c>
      <c r="E54" s="97">
        <f t="shared" si="1"/>
        <v>22</v>
      </c>
    </row>
    <row r="55" spans="1:6" x14ac:dyDescent="0.2">
      <c r="A55" s="3" t="s">
        <v>172</v>
      </c>
      <c r="B55" t="s">
        <v>63</v>
      </c>
      <c r="C55" s="41">
        <v>1991</v>
      </c>
      <c r="D55" t="s">
        <v>207</v>
      </c>
      <c r="E55" s="97">
        <f t="shared" si="1"/>
        <v>22</v>
      </c>
    </row>
    <row r="56" spans="1:6" x14ac:dyDescent="0.2">
      <c r="A56" s="3" t="s">
        <v>172</v>
      </c>
      <c r="B56" t="s">
        <v>63</v>
      </c>
      <c r="C56" s="41">
        <v>1992</v>
      </c>
      <c r="D56" t="s">
        <v>207</v>
      </c>
      <c r="E56" s="97">
        <f t="shared" si="1"/>
        <v>22</v>
      </c>
    </row>
    <row r="57" spans="1:6" x14ac:dyDescent="0.2">
      <c r="A57" s="3" t="s">
        <v>172</v>
      </c>
      <c r="B57" t="s">
        <v>63</v>
      </c>
      <c r="C57" s="41">
        <v>1993</v>
      </c>
      <c r="D57" t="s">
        <v>207</v>
      </c>
      <c r="E57" s="97">
        <f t="shared" si="1"/>
        <v>22</v>
      </c>
    </row>
    <row r="58" spans="1:6" x14ac:dyDescent="0.2">
      <c r="A58" s="3" t="s">
        <v>172</v>
      </c>
      <c r="B58" t="s">
        <v>63</v>
      </c>
      <c r="C58" s="41">
        <v>1994</v>
      </c>
      <c r="D58" t="s">
        <v>207</v>
      </c>
      <c r="E58" s="97">
        <f t="shared" si="1"/>
        <v>22</v>
      </c>
    </row>
    <row r="59" spans="1:6" x14ac:dyDescent="0.2">
      <c r="A59" s="3" t="s">
        <v>172</v>
      </c>
      <c r="B59" t="s">
        <v>63</v>
      </c>
      <c r="C59" s="41">
        <v>1995</v>
      </c>
      <c r="D59" t="s">
        <v>207</v>
      </c>
      <c r="E59" s="97">
        <f t="shared" si="1"/>
        <v>22</v>
      </c>
    </row>
    <row r="60" spans="1:6" x14ac:dyDescent="0.2">
      <c r="A60" s="3" t="s">
        <v>172</v>
      </c>
      <c r="B60" t="s">
        <v>63</v>
      </c>
      <c r="C60" s="41">
        <v>1996</v>
      </c>
      <c r="D60" t="s">
        <v>207</v>
      </c>
      <c r="E60" s="97">
        <f t="shared" si="1"/>
        <v>22</v>
      </c>
    </row>
    <row r="61" spans="1:6" x14ac:dyDescent="0.2">
      <c r="A61" s="3" t="s">
        <v>172</v>
      </c>
      <c r="B61" t="s">
        <v>63</v>
      </c>
      <c r="C61" s="41">
        <v>1997</v>
      </c>
      <c r="D61" t="s">
        <v>207</v>
      </c>
      <c r="E61" s="97">
        <f t="shared" si="1"/>
        <v>22</v>
      </c>
    </row>
    <row r="62" spans="1:6" x14ac:dyDescent="0.2">
      <c r="A62" s="3" t="s">
        <v>172</v>
      </c>
      <c r="B62" t="s">
        <v>63</v>
      </c>
      <c r="C62" s="41">
        <v>1998</v>
      </c>
      <c r="D62" t="s">
        <v>207</v>
      </c>
      <c r="E62" s="97">
        <f t="shared" si="1"/>
        <v>22</v>
      </c>
    </row>
    <row r="63" spans="1:6" x14ac:dyDescent="0.2">
      <c r="A63" s="3" t="s">
        <v>172</v>
      </c>
      <c r="B63" t="s">
        <v>63</v>
      </c>
      <c r="C63" s="41">
        <v>1999</v>
      </c>
      <c r="D63" t="s">
        <v>207</v>
      </c>
      <c r="E63" s="97">
        <f t="shared" si="1"/>
        <v>22</v>
      </c>
    </row>
    <row r="64" spans="1:6" x14ac:dyDescent="0.2">
      <c r="A64" s="3" t="s">
        <v>172</v>
      </c>
      <c r="B64" t="s">
        <v>63</v>
      </c>
      <c r="C64" s="41">
        <v>2000</v>
      </c>
      <c r="D64" t="s">
        <v>207</v>
      </c>
      <c r="E64" s="97">
        <f t="shared" si="1"/>
        <v>22</v>
      </c>
    </row>
    <row r="65" spans="1:6" x14ac:dyDescent="0.2">
      <c r="A65" s="3" t="s">
        <v>172</v>
      </c>
      <c r="B65" t="s">
        <v>63</v>
      </c>
      <c r="C65" s="41">
        <v>2001</v>
      </c>
      <c r="D65" t="s">
        <v>207</v>
      </c>
      <c r="E65" s="97">
        <f t="shared" si="1"/>
        <v>22</v>
      </c>
    </row>
    <row r="66" spans="1:6" x14ac:dyDescent="0.2">
      <c r="A66" s="3" t="s">
        <v>172</v>
      </c>
      <c r="B66" t="s">
        <v>63</v>
      </c>
      <c r="C66" s="41">
        <v>2002</v>
      </c>
      <c r="D66" t="s">
        <v>207</v>
      </c>
      <c r="E66" s="97">
        <f t="shared" si="1"/>
        <v>22</v>
      </c>
    </row>
    <row r="67" spans="1:6" x14ac:dyDescent="0.2">
      <c r="A67" s="3" t="s">
        <v>172</v>
      </c>
      <c r="B67" t="s">
        <v>63</v>
      </c>
      <c r="C67" s="41">
        <v>2003</v>
      </c>
      <c r="D67" t="s">
        <v>207</v>
      </c>
      <c r="E67" s="97">
        <f t="shared" si="1"/>
        <v>22</v>
      </c>
    </row>
    <row r="68" spans="1:6" x14ac:dyDescent="0.2">
      <c r="A68" s="3" t="s">
        <v>172</v>
      </c>
      <c r="B68" t="s">
        <v>63</v>
      </c>
      <c r="C68" s="41">
        <v>2004</v>
      </c>
      <c r="D68" t="s">
        <v>207</v>
      </c>
      <c r="E68" s="97">
        <f t="shared" si="1"/>
        <v>22</v>
      </c>
    </row>
    <row r="69" spans="1:6" x14ac:dyDescent="0.2">
      <c r="A69" s="3" t="s">
        <v>172</v>
      </c>
      <c r="B69" t="s">
        <v>63</v>
      </c>
      <c r="C69" s="41">
        <v>2006</v>
      </c>
      <c r="D69" t="s">
        <v>207</v>
      </c>
      <c r="E69" s="97">
        <f t="shared" si="1"/>
        <v>22</v>
      </c>
    </row>
    <row r="70" spans="1:6" x14ac:dyDescent="0.2">
      <c r="A70" s="3" t="s">
        <v>172</v>
      </c>
      <c r="B70" t="s">
        <v>63</v>
      </c>
      <c r="C70" s="41">
        <v>2007</v>
      </c>
      <c r="D70" t="s">
        <v>207</v>
      </c>
      <c r="E70" s="97">
        <f t="shared" si="1"/>
        <v>22</v>
      </c>
    </row>
    <row r="71" spans="1:6" x14ac:dyDescent="0.2">
      <c r="A71" s="3" t="s">
        <v>172</v>
      </c>
      <c r="B71" t="s">
        <v>63</v>
      </c>
      <c r="C71" s="41">
        <v>2008</v>
      </c>
      <c r="D71" t="s">
        <v>207</v>
      </c>
      <c r="E71" s="97">
        <f t="shared" si="1"/>
        <v>22</v>
      </c>
    </row>
    <row r="72" spans="1:6" x14ac:dyDescent="0.2">
      <c r="A72" s="3" t="s">
        <v>172</v>
      </c>
      <c r="B72" t="s">
        <v>63</v>
      </c>
      <c r="C72" s="41">
        <v>2009</v>
      </c>
      <c r="D72" t="s">
        <v>207</v>
      </c>
      <c r="E72" s="97">
        <f t="shared" ref="E72:E103" si="2">COUNTIF(B$8:B$137,B72)</f>
        <v>22</v>
      </c>
    </row>
    <row r="73" spans="1:6" x14ac:dyDescent="0.2">
      <c r="A73" s="3" t="s">
        <v>172</v>
      </c>
      <c r="B73" t="s">
        <v>63</v>
      </c>
      <c r="C73" s="41" t="s">
        <v>400</v>
      </c>
      <c r="D73" t="s">
        <v>207</v>
      </c>
      <c r="E73" s="97">
        <f t="shared" si="2"/>
        <v>22</v>
      </c>
    </row>
    <row r="74" spans="1:6" x14ac:dyDescent="0.2">
      <c r="A74" s="3" t="s">
        <v>172</v>
      </c>
      <c r="B74" t="s">
        <v>63</v>
      </c>
      <c r="C74" s="41" t="s">
        <v>401</v>
      </c>
      <c r="D74" t="s">
        <v>207</v>
      </c>
      <c r="E74" s="97">
        <f t="shared" si="2"/>
        <v>22</v>
      </c>
    </row>
    <row r="75" spans="1:6" x14ac:dyDescent="0.2">
      <c r="A75" t="s">
        <v>154</v>
      </c>
      <c r="B75" t="s">
        <v>31</v>
      </c>
      <c r="C75" s="41">
        <v>1996</v>
      </c>
      <c r="D75" t="s">
        <v>203</v>
      </c>
      <c r="E75" s="97">
        <f t="shared" si="2"/>
        <v>1</v>
      </c>
      <c r="F75">
        <v>1</v>
      </c>
    </row>
    <row r="76" spans="1:6" x14ac:dyDescent="0.2">
      <c r="A76" t="s">
        <v>165</v>
      </c>
      <c r="B76" t="s">
        <v>114</v>
      </c>
      <c r="C76" s="41" t="s">
        <v>382</v>
      </c>
      <c r="D76" t="s">
        <v>402</v>
      </c>
      <c r="E76" s="97">
        <f t="shared" si="2"/>
        <v>1</v>
      </c>
      <c r="F76">
        <v>1</v>
      </c>
    </row>
    <row r="77" spans="1:6" x14ac:dyDescent="0.2">
      <c r="A77" t="s">
        <v>154</v>
      </c>
      <c r="B77" t="s">
        <v>156</v>
      </c>
      <c r="C77" s="41">
        <v>1993</v>
      </c>
      <c r="D77" t="s">
        <v>215</v>
      </c>
      <c r="E77" s="97">
        <f t="shared" si="2"/>
        <v>4</v>
      </c>
      <c r="F77">
        <v>1</v>
      </c>
    </row>
    <row r="78" spans="1:6" x14ac:dyDescent="0.2">
      <c r="A78" t="s">
        <v>154</v>
      </c>
      <c r="B78" t="s">
        <v>156</v>
      </c>
      <c r="C78" s="41">
        <v>1996</v>
      </c>
      <c r="D78" t="s">
        <v>215</v>
      </c>
      <c r="E78" s="97">
        <f t="shared" si="2"/>
        <v>4</v>
      </c>
    </row>
    <row r="79" spans="1:6" x14ac:dyDescent="0.2">
      <c r="A79" t="s">
        <v>154</v>
      </c>
      <c r="B79" t="s">
        <v>156</v>
      </c>
      <c r="C79" s="41">
        <v>1997</v>
      </c>
      <c r="D79" t="s">
        <v>215</v>
      </c>
      <c r="E79" s="97">
        <f t="shared" si="2"/>
        <v>4</v>
      </c>
    </row>
    <row r="80" spans="1:6" x14ac:dyDescent="0.2">
      <c r="A80" t="s">
        <v>154</v>
      </c>
      <c r="B80" t="s">
        <v>156</v>
      </c>
      <c r="C80" s="41">
        <v>1998</v>
      </c>
      <c r="D80" t="s">
        <v>215</v>
      </c>
      <c r="E80" s="97">
        <f t="shared" si="2"/>
        <v>4</v>
      </c>
    </row>
    <row r="81" spans="1:6" x14ac:dyDescent="0.2">
      <c r="A81" t="s">
        <v>165</v>
      </c>
      <c r="B81" t="s">
        <v>118</v>
      </c>
      <c r="C81" s="41" t="s">
        <v>403</v>
      </c>
      <c r="D81" t="s">
        <v>219</v>
      </c>
      <c r="E81" s="97">
        <f t="shared" si="2"/>
        <v>3</v>
      </c>
      <c r="F81">
        <v>1</v>
      </c>
    </row>
    <row r="82" spans="1:6" x14ac:dyDescent="0.2">
      <c r="A82" t="s">
        <v>165</v>
      </c>
      <c r="B82" t="s">
        <v>118</v>
      </c>
      <c r="C82" s="41" t="s">
        <v>404</v>
      </c>
      <c r="D82" t="s">
        <v>220</v>
      </c>
      <c r="E82" s="97">
        <f t="shared" si="2"/>
        <v>3</v>
      </c>
    </row>
    <row r="83" spans="1:6" x14ac:dyDescent="0.2">
      <c r="A83" t="s">
        <v>165</v>
      </c>
      <c r="B83" s="97" t="s">
        <v>118</v>
      </c>
      <c r="C83" s="100">
        <v>2013</v>
      </c>
      <c r="D83" s="97" t="s">
        <v>220</v>
      </c>
      <c r="E83" s="97">
        <f t="shared" si="2"/>
        <v>3</v>
      </c>
      <c r="F83" s="97"/>
    </row>
    <row r="84" spans="1:6" x14ac:dyDescent="0.2">
      <c r="A84" t="s">
        <v>158</v>
      </c>
      <c r="B84" t="s">
        <v>161</v>
      </c>
      <c r="C84" s="41" t="s">
        <v>405</v>
      </c>
      <c r="D84" t="s">
        <v>406</v>
      </c>
      <c r="E84" s="97">
        <f t="shared" si="2"/>
        <v>1</v>
      </c>
      <c r="F84">
        <v>1</v>
      </c>
    </row>
    <row r="85" spans="1:6" x14ac:dyDescent="0.2">
      <c r="A85" t="s">
        <v>74</v>
      </c>
      <c r="B85" t="s">
        <v>81</v>
      </c>
      <c r="C85" s="41">
        <v>1991</v>
      </c>
      <c r="D85" t="s">
        <v>407</v>
      </c>
      <c r="E85" s="97">
        <f t="shared" si="2"/>
        <v>1</v>
      </c>
      <c r="F85">
        <v>1</v>
      </c>
    </row>
    <row r="86" spans="1:6" x14ac:dyDescent="0.2">
      <c r="A86" t="s">
        <v>87</v>
      </c>
      <c r="B86" t="s">
        <v>91</v>
      </c>
      <c r="C86" s="41" t="s">
        <v>408</v>
      </c>
      <c r="D86" t="s">
        <v>215</v>
      </c>
      <c r="E86" s="97">
        <f t="shared" si="2"/>
        <v>3</v>
      </c>
      <c r="F86">
        <v>1</v>
      </c>
    </row>
    <row r="87" spans="1:6" x14ac:dyDescent="0.2">
      <c r="A87" t="s">
        <v>87</v>
      </c>
      <c r="B87" t="s">
        <v>91</v>
      </c>
      <c r="C87" s="41" t="s">
        <v>409</v>
      </c>
      <c r="D87" t="s">
        <v>215</v>
      </c>
      <c r="E87" s="97">
        <f t="shared" si="2"/>
        <v>3</v>
      </c>
    </row>
    <row r="88" spans="1:6" x14ac:dyDescent="0.2">
      <c r="A88" t="s">
        <v>87</v>
      </c>
      <c r="B88" t="s">
        <v>91</v>
      </c>
      <c r="C88" s="41" t="s">
        <v>404</v>
      </c>
      <c r="D88" t="s">
        <v>215</v>
      </c>
      <c r="E88" s="97">
        <f t="shared" si="2"/>
        <v>3</v>
      </c>
    </row>
    <row r="89" spans="1:6" x14ac:dyDescent="0.2">
      <c r="A89" t="s">
        <v>174</v>
      </c>
      <c r="B89" t="s">
        <v>65</v>
      </c>
      <c r="C89" s="41">
        <v>1993</v>
      </c>
      <c r="D89" t="s">
        <v>410</v>
      </c>
      <c r="E89" s="97">
        <f t="shared" si="2"/>
        <v>4</v>
      </c>
      <c r="F89">
        <v>1</v>
      </c>
    </row>
    <row r="90" spans="1:6" x14ac:dyDescent="0.2">
      <c r="A90" t="s">
        <v>174</v>
      </c>
      <c r="B90" t="s">
        <v>65</v>
      </c>
      <c r="C90" s="41">
        <v>2001</v>
      </c>
      <c r="D90" t="s">
        <v>410</v>
      </c>
      <c r="E90" s="97">
        <f t="shared" si="2"/>
        <v>4</v>
      </c>
    </row>
    <row r="91" spans="1:6" x14ac:dyDescent="0.2">
      <c r="A91" t="s">
        <v>174</v>
      </c>
      <c r="B91" t="s">
        <v>65</v>
      </c>
      <c r="C91" s="41">
        <v>2005</v>
      </c>
      <c r="D91" t="s">
        <v>410</v>
      </c>
      <c r="E91" s="97">
        <f t="shared" si="2"/>
        <v>4</v>
      </c>
    </row>
    <row r="92" spans="1:6" x14ac:dyDescent="0.2">
      <c r="A92" t="s">
        <v>174</v>
      </c>
      <c r="B92" t="s">
        <v>65</v>
      </c>
      <c r="C92" s="41" t="s">
        <v>396</v>
      </c>
      <c r="D92" t="s">
        <v>410</v>
      </c>
      <c r="E92" s="97">
        <f t="shared" si="2"/>
        <v>4</v>
      </c>
    </row>
    <row r="93" spans="1:6" x14ac:dyDescent="0.2">
      <c r="A93" t="s">
        <v>174</v>
      </c>
      <c r="B93" t="s">
        <v>123</v>
      </c>
      <c r="C93" s="41">
        <v>2011</v>
      </c>
      <c r="D93" t="s">
        <v>411</v>
      </c>
      <c r="E93" s="97">
        <f t="shared" si="2"/>
        <v>2</v>
      </c>
      <c r="F93">
        <v>1</v>
      </c>
    </row>
    <row r="94" spans="1:6" x14ac:dyDescent="0.2">
      <c r="A94" t="s">
        <v>174</v>
      </c>
      <c r="B94" s="97" t="s">
        <v>123</v>
      </c>
      <c r="C94" s="100">
        <v>2011</v>
      </c>
      <c r="D94" s="97" t="s">
        <v>489</v>
      </c>
      <c r="E94" s="97">
        <f t="shared" si="2"/>
        <v>2</v>
      </c>
      <c r="F94" s="97"/>
    </row>
    <row r="95" spans="1:6" x14ac:dyDescent="0.2">
      <c r="A95" t="s">
        <v>174</v>
      </c>
      <c r="B95" t="s">
        <v>124</v>
      </c>
      <c r="C95" s="41">
        <v>2003</v>
      </c>
      <c r="D95" t="s">
        <v>215</v>
      </c>
      <c r="E95" s="97">
        <f t="shared" si="2"/>
        <v>3</v>
      </c>
      <c r="F95">
        <v>1</v>
      </c>
    </row>
    <row r="96" spans="1:6" x14ac:dyDescent="0.2">
      <c r="A96" t="s">
        <v>174</v>
      </c>
      <c r="B96" t="s">
        <v>124</v>
      </c>
      <c r="C96" s="41" t="s">
        <v>404</v>
      </c>
      <c r="D96" t="s">
        <v>225</v>
      </c>
      <c r="E96" s="97">
        <f t="shared" si="2"/>
        <v>3</v>
      </c>
    </row>
    <row r="97" spans="1:6" x14ac:dyDescent="0.2">
      <c r="A97" t="s">
        <v>174</v>
      </c>
      <c r="B97" t="s">
        <v>124</v>
      </c>
      <c r="C97" s="41" t="s">
        <v>412</v>
      </c>
      <c r="D97" t="s">
        <v>225</v>
      </c>
      <c r="E97" s="97">
        <f t="shared" si="2"/>
        <v>3</v>
      </c>
    </row>
    <row r="98" spans="1:6" x14ac:dyDescent="0.2">
      <c r="A98" t="s">
        <v>87</v>
      </c>
      <c r="B98" t="s">
        <v>92</v>
      </c>
      <c r="C98" s="41">
        <v>1991</v>
      </c>
      <c r="D98" t="s">
        <v>209</v>
      </c>
      <c r="E98" s="97">
        <f t="shared" si="2"/>
        <v>1</v>
      </c>
      <c r="F98">
        <v>1</v>
      </c>
    </row>
    <row r="99" spans="1:6" x14ac:dyDescent="0.2">
      <c r="A99" s="3" t="s">
        <v>172</v>
      </c>
      <c r="B99" t="s">
        <v>66</v>
      </c>
      <c r="C99" s="41">
        <v>1997</v>
      </c>
      <c r="D99" t="s">
        <v>226</v>
      </c>
      <c r="E99" s="97">
        <f t="shared" si="2"/>
        <v>3</v>
      </c>
      <c r="F99">
        <v>1</v>
      </c>
    </row>
    <row r="100" spans="1:6" x14ac:dyDescent="0.2">
      <c r="A100" s="3" t="s">
        <v>172</v>
      </c>
      <c r="B100" t="s">
        <v>66</v>
      </c>
      <c r="C100" s="41">
        <v>2003</v>
      </c>
      <c r="D100" t="s">
        <v>226</v>
      </c>
      <c r="E100" s="97">
        <f t="shared" si="2"/>
        <v>3</v>
      </c>
    </row>
    <row r="101" spans="1:6" x14ac:dyDescent="0.2">
      <c r="A101" s="3" t="s">
        <v>172</v>
      </c>
      <c r="B101" t="s">
        <v>66</v>
      </c>
      <c r="C101" s="41">
        <v>2008</v>
      </c>
      <c r="D101" t="s">
        <v>226</v>
      </c>
      <c r="E101" s="97">
        <f t="shared" si="2"/>
        <v>3</v>
      </c>
    </row>
    <row r="102" spans="1:6" x14ac:dyDescent="0.2">
      <c r="A102" t="s">
        <v>158</v>
      </c>
      <c r="B102" t="s">
        <v>227</v>
      </c>
      <c r="C102" s="41">
        <v>1996</v>
      </c>
      <c r="D102" t="s">
        <v>228</v>
      </c>
      <c r="E102" s="97">
        <f t="shared" si="2"/>
        <v>1</v>
      </c>
      <c r="F102">
        <v>1</v>
      </c>
    </row>
    <row r="103" spans="1:6" x14ac:dyDescent="0.2">
      <c r="A103" s="3" t="s">
        <v>172</v>
      </c>
      <c r="B103" t="s">
        <v>68</v>
      </c>
      <c r="C103" s="41">
        <v>1985</v>
      </c>
      <c r="D103" t="s">
        <v>215</v>
      </c>
      <c r="E103" s="97">
        <f t="shared" si="2"/>
        <v>1</v>
      </c>
      <c r="F103">
        <v>1</v>
      </c>
    </row>
    <row r="104" spans="1:6" x14ac:dyDescent="0.2">
      <c r="A104" s="3" t="s">
        <v>172</v>
      </c>
      <c r="B104" t="s">
        <v>415</v>
      </c>
      <c r="C104" s="41">
        <v>1991</v>
      </c>
      <c r="D104" t="s">
        <v>416</v>
      </c>
      <c r="E104" s="97">
        <f t="shared" ref="E104:E137" si="3">COUNTIF(B$8:B$137,B104)</f>
        <v>2</v>
      </c>
    </row>
    <row r="105" spans="1:6" x14ac:dyDescent="0.2">
      <c r="A105" s="3" t="s">
        <v>172</v>
      </c>
      <c r="B105" t="s">
        <v>415</v>
      </c>
      <c r="C105" s="41">
        <v>1994</v>
      </c>
      <c r="D105" t="s">
        <v>416</v>
      </c>
      <c r="E105" s="97">
        <f t="shared" si="3"/>
        <v>2</v>
      </c>
    </row>
    <row r="106" spans="1:6" x14ac:dyDescent="0.2">
      <c r="A106" s="3" t="s">
        <v>172</v>
      </c>
      <c r="B106" t="s">
        <v>413</v>
      </c>
      <c r="C106" s="41">
        <v>1990</v>
      </c>
      <c r="D106" t="s">
        <v>414</v>
      </c>
      <c r="E106" s="97">
        <f t="shared" si="3"/>
        <v>1</v>
      </c>
    </row>
    <row r="107" spans="1:6" x14ac:dyDescent="0.2">
      <c r="A107" t="s">
        <v>154</v>
      </c>
      <c r="B107" t="s">
        <v>39</v>
      </c>
      <c r="C107" s="41" t="s">
        <v>417</v>
      </c>
      <c r="D107" t="s">
        <v>209</v>
      </c>
      <c r="E107" s="97">
        <f t="shared" si="3"/>
        <v>1</v>
      </c>
      <c r="F107">
        <v>1</v>
      </c>
    </row>
    <row r="108" spans="1:6" x14ac:dyDescent="0.2">
      <c r="A108" t="s">
        <v>154</v>
      </c>
      <c r="B108" t="s">
        <v>41</v>
      </c>
      <c r="C108" s="41">
        <v>2003</v>
      </c>
      <c r="D108" t="s">
        <v>203</v>
      </c>
      <c r="E108" s="97">
        <f t="shared" si="3"/>
        <v>2</v>
      </c>
    </row>
    <row r="109" spans="1:6" x14ac:dyDescent="0.2">
      <c r="A109" t="s">
        <v>154</v>
      </c>
      <c r="B109" t="s">
        <v>41</v>
      </c>
      <c r="C109" s="41">
        <v>2007</v>
      </c>
      <c r="D109" t="s">
        <v>203</v>
      </c>
      <c r="E109" s="97">
        <f t="shared" si="3"/>
        <v>2</v>
      </c>
    </row>
    <row r="110" spans="1:6" x14ac:dyDescent="0.2">
      <c r="A110" t="s">
        <v>154</v>
      </c>
      <c r="B110" t="s">
        <v>418</v>
      </c>
      <c r="C110" s="41">
        <v>2000</v>
      </c>
      <c r="D110" t="s">
        <v>230</v>
      </c>
      <c r="E110" s="97">
        <f t="shared" si="3"/>
        <v>1</v>
      </c>
      <c r="F110">
        <v>1</v>
      </c>
    </row>
    <row r="111" spans="1:6" x14ac:dyDescent="0.2">
      <c r="A111" t="s">
        <v>154</v>
      </c>
      <c r="B111" t="s">
        <v>419</v>
      </c>
      <c r="C111" s="41">
        <v>2002</v>
      </c>
      <c r="D111" t="s">
        <v>203</v>
      </c>
      <c r="E111" s="97">
        <f t="shared" si="3"/>
        <v>1</v>
      </c>
    </row>
    <row r="112" spans="1:6" x14ac:dyDescent="0.2">
      <c r="A112" t="s">
        <v>165</v>
      </c>
      <c r="B112" t="s">
        <v>130</v>
      </c>
      <c r="C112" s="41">
        <v>1993</v>
      </c>
      <c r="D112" t="s">
        <v>209</v>
      </c>
      <c r="E112" s="97">
        <f t="shared" si="3"/>
        <v>1</v>
      </c>
      <c r="F112">
        <v>1</v>
      </c>
    </row>
    <row r="113" spans="1:6" x14ac:dyDescent="0.2">
      <c r="A113" t="s">
        <v>154</v>
      </c>
      <c r="B113" t="s">
        <v>43</v>
      </c>
      <c r="C113" s="41">
        <v>1999</v>
      </c>
      <c r="D113" t="s">
        <v>203</v>
      </c>
      <c r="E113" s="97">
        <f t="shared" si="3"/>
        <v>4</v>
      </c>
      <c r="F113">
        <v>1</v>
      </c>
    </row>
    <row r="114" spans="1:6" x14ac:dyDescent="0.2">
      <c r="A114" t="s">
        <v>154</v>
      </c>
      <c r="B114" t="s">
        <v>43</v>
      </c>
      <c r="C114" s="41">
        <v>2003</v>
      </c>
      <c r="D114" t="s">
        <v>203</v>
      </c>
      <c r="E114" s="97">
        <f t="shared" si="3"/>
        <v>4</v>
      </c>
    </row>
    <row r="115" spans="1:6" x14ac:dyDescent="0.2">
      <c r="A115" t="s">
        <v>154</v>
      </c>
      <c r="B115" t="s">
        <v>43</v>
      </c>
      <c r="C115" s="41">
        <v>2007</v>
      </c>
      <c r="D115" t="s">
        <v>215</v>
      </c>
      <c r="E115" s="97">
        <f t="shared" si="3"/>
        <v>4</v>
      </c>
    </row>
    <row r="116" spans="1:6" x14ac:dyDescent="0.2">
      <c r="A116" t="s">
        <v>154</v>
      </c>
      <c r="B116" t="s">
        <v>43</v>
      </c>
      <c r="C116" s="41">
        <v>2009</v>
      </c>
      <c r="D116" t="s">
        <v>215</v>
      </c>
      <c r="E116" s="97">
        <f t="shared" si="3"/>
        <v>4</v>
      </c>
    </row>
    <row r="117" spans="1:6" x14ac:dyDescent="0.2">
      <c r="A117" t="s">
        <v>165</v>
      </c>
      <c r="B117" t="s">
        <v>133</v>
      </c>
      <c r="C117" s="41">
        <v>1991</v>
      </c>
      <c r="D117" t="s">
        <v>231</v>
      </c>
      <c r="E117" s="97">
        <f t="shared" si="3"/>
        <v>9</v>
      </c>
      <c r="F117">
        <v>1</v>
      </c>
    </row>
    <row r="118" spans="1:6" x14ac:dyDescent="0.2">
      <c r="A118" t="s">
        <v>165</v>
      </c>
      <c r="B118" t="s">
        <v>133</v>
      </c>
      <c r="C118" s="41">
        <v>1992</v>
      </c>
      <c r="D118" t="s">
        <v>232</v>
      </c>
      <c r="E118" s="97">
        <f t="shared" si="3"/>
        <v>9</v>
      </c>
    </row>
    <row r="119" spans="1:6" x14ac:dyDescent="0.2">
      <c r="A119" t="s">
        <v>165</v>
      </c>
      <c r="B119" t="s">
        <v>133</v>
      </c>
      <c r="C119" s="41">
        <v>1993</v>
      </c>
      <c r="D119" t="s">
        <v>233</v>
      </c>
      <c r="E119" s="97">
        <f t="shared" si="3"/>
        <v>9</v>
      </c>
    </row>
    <row r="120" spans="1:6" x14ac:dyDescent="0.2">
      <c r="A120" t="s">
        <v>165</v>
      </c>
      <c r="B120" t="s">
        <v>133</v>
      </c>
      <c r="C120" s="41">
        <v>1993</v>
      </c>
      <c r="D120" t="s">
        <v>234</v>
      </c>
      <c r="E120" s="97">
        <f t="shared" si="3"/>
        <v>9</v>
      </c>
    </row>
    <row r="121" spans="1:6" x14ac:dyDescent="0.2">
      <c r="A121" t="s">
        <v>165</v>
      </c>
      <c r="B121" t="s">
        <v>133</v>
      </c>
      <c r="C121" s="41">
        <v>1994</v>
      </c>
      <c r="D121" t="s">
        <v>235</v>
      </c>
      <c r="E121" s="97">
        <f t="shared" si="3"/>
        <v>9</v>
      </c>
    </row>
    <row r="122" spans="1:6" x14ac:dyDescent="0.2">
      <c r="A122" t="s">
        <v>165</v>
      </c>
      <c r="B122" t="s">
        <v>133</v>
      </c>
      <c r="C122" s="41">
        <v>2004</v>
      </c>
      <c r="D122" t="s">
        <v>236</v>
      </c>
      <c r="E122" s="97">
        <f t="shared" si="3"/>
        <v>9</v>
      </c>
    </row>
    <row r="123" spans="1:6" x14ac:dyDescent="0.2">
      <c r="A123" t="s">
        <v>165</v>
      </c>
      <c r="B123" t="s">
        <v>133</v>
      </c>
      <c r="C123" s="41">
        <v>2008</v>
      </c>
      <c r="D123" t="s">
        <v>237</v>
      </c>
      <c r="E123" s="97">
        <f t="shared" si="3"/>
        <v>9</v>
      </c>
    </row>
    <row r="124" spans="1:6" x14ac:dyDescent="0.2">
      <c r="A124" t="s">
        <v>165</v>
      </c>
      <c r="B124" t="s">
        <v>133</v>
      </c>
      <c r="C124" s="41">
        <v>2010</v>
      </c>
      <c r="D124" t="s">
        <v>238</v>
      </c>
      <c r="E124" s="97">
        <f t="shared" si="3"/>
        <v>9</v>
      </c>
    </row>
    <row r="125" spans="1:6" x14ac:dyDescent="0.2">
      <c r="A125" t="s">
        <v>165</v>
      </c>
      <c r="B125" t="s">
        <v>133</v>
      </c>
      <c r="C125" s="41">
        <v>2010</v>
      </c>
      <c r="D125" t="s">
        <v>237</v>
      </c>
      <c r="E125" s="97">
        <f t="shared" si="3"/>
        <v>9</v>
      </c>
    </row>
    <row r="126" spans="1:6" x14ac:dyDescent="0.2">
      <c r="A126" t="s">
        <v>158</v>
      </c>
      <c r="B126" t="s">
        <v>17</v>
      </c>
      <c r="C126" s="41">
        <v>2001</v>
      </c>
      <c r="D126" t="s">
        <v>215</v>
      </c>
      <c r="E126" s="97">
        <f t="shared" si="3"/>
        <v>2</v>
      </c>
      <c r="F126">
        <v>1</v>
      </c>
    </row>
    <row r="127" spans="1:6" x14ac:dyDescent="0.2">
      <c r="A127" t="s">
        <v>158</v>
      </c>
      <c r="B127" t="s">
        <v>17</v>
      </c>
      <c r="C127" s="41" t="s">
        <v>420</v>
      </c>
      <c r="D127" t="s">
        <v>239</v>
      </c>
      <c r="E127" s="97">
        <f t="shared" si="3"/>
        <v>2</v>
      </c>
    </row>
    <row r="128" spans="1:6" x14ac:dyDescent="0.2">
      <c r="A128" t="s">
        <v>174</v>
      </c>
      <c r="B128" t="s">
        <v>135</v>
      </c>
      <c r="C128" s="41" t="s">
        <v>421</v>
      </c>
      <c r="D128" t="s">
        <v>237</v>
      </c>
      <c r="E128" s="97">
        <f t="shared" si="3"/>
        <v>3</v>
      </c>
      <c r="F128">
        <v>1</v>
      </c>
    </row>
    <row r="129" spans="1:7" x14ac:dyDescent="0.2">
      <c r="A129" t="s">
        <v>174</v>
      </c>
      <c r="B129" t="s">
        <v>135</v>
      </c>
      <c r="C129" s="41" t="s">
        <v>404</v>
      </c>
      <c r="D129" t="s">
        <v>237</v>
      </c>
      <c r="E129" s="97">
        <f t="shared" si="3"/>
        <v>3</v>
      </c>
    </row>
    <row r="130" spans="1:7" x14ac:dyDescent="0.2">
      <c r="A130" t="s">
        <v>174</v>
      </c>
      <c r="B130" t="s">
        <v>135</v>
      </c>
      <c r="C130" s="41" t="s">
        <v>422</v>
      </c>
      <c r="D130" t="s">
        <v>237</v>
      </c>
      <c r="E130" s="97">
        <f t="shared" si="3"/>
        <v>3</v>
      </c>
    </row>
    <row r="131" spans="1:7" x14ac:dyDescent="0.2">
      <c r="A131" t="s">
        <v>158</v>
      </c>
      <c r="B131" t="s">
        <v>164</v>
      </c>
      <c r="C131" s="41">
        <v>2002</v>
      </c>
      <c r="D131" t="s">
        <v>240</v>
      </c>
      <c r="E131" s="97">
        <f t="shared" si="3"/>
        <v>7</v>
      </c>
    </row>
    <row r="132" spans="1:7" s="43" customFormat="1" x14ac:dyDescent="0.2">
      <c r="A132" t="s">
        <v>158</v>
      </c>
      <c r="B132" t="s">
        <v>164</v>
      </c>
      <c r="C132" s="41">
        <v>2004</v>
      </c>
      <c r="D132" t="s">
        <v>240</v>
      </c>
      <c r="E132" s="97">
        <f t="shared" si="3"/>
        <v>7</v>
      </c>
      <c r="F132"/>
      <c r="G132"/>
    </row>
    <row r="133" spans="1:7" s="43" customFormat="1" x14ac:dyDescent="0.2">
      <c r="A133" t="s">
        <v>158</v>
      </c>
      <c r="B133" t="s">
        <v>164</v>
      </c>
      <c r="C133" s="41">
        <v>2006</v>
      </c>
      <c r="D133" t="s">
        <v>240</v>
      </c>
      <c r="E133" s="97">
        <f t="shared" si="3"/>
        <v>7</v>
      </c>
      <c r="F133"/>
      <c r="G133"/>
    </row>
    <row r="134" spans="1:7" s="43" customFormat="1" x14ac:dyDescent="0.2">
      <c r="A134" t="s">
        <v>158</v>
      </c>
      <c r="B134" t="s">
        <v>164</v>
      </c>
      <c r="C134" s="41">
        <v>2008</v>
      </c>
      <c r="D134" t="s">
        <v>240</v>
      </c>
      <c r="E134" s="97">
        <f t="shared" si="3"/>
        <v>7</v>
      </c>
      <c r="F134"/>
      <c r="G134"/>
    </row>
    <row r="135" spans="1:7" s="43" customFormat="1" x14ac:dyDescent="0.2">
      <c r="A135" t="s">
        <v>158</v>
      </c>
      <c r="B135" s="43" t="s">
        <v>164</v>
      </c>
      <c r="C135" s="44">
        <v>2010</v>
      </c>
      <c r="D135" s="43" t="s">
        <v>423</v>
      </c>
      <c r="E135" s="97">
        <f t="shared" si="3"/>
        <v>7</v>
      </c>
    </row>
    <row r="136" spans="1:7" s="43" customFormat="1" x14ac:dyDescent="0.2">
      <c r="A136" t="s">
        <v>158</v>
      </c>
      <c r="B136" t="s">
        <v>164</v>
      </c>
      <c r="C136" s="41" t="s">
        <v>397</v>
      </c>
      <c r="D136" t="s">
        <v>215</v>
      </c>
      <c r="E136" s="97">
        <f t="shared" si="3"/>
        <v>7</v>
      </c>
      <c r="F136">
        <v>1</v>
      </c>
      <c r="G136"/>
    </row>
    <row r="137" spans="1:7" s="43" customFormat="1" x14ac:dyDescent="0.2">
      <c r="A137" t="s">
        <v>158</v>
      </c>
      <c r="B137" t="s">
        <v>164</v>
      </c>
      <c r="C137" s="41" t="s">
        <v>398</v>
      </c>
      <c r="D137" t="s">
        <v>215</v>
      </c>
      <c r="E137" s="97">
        <f t="shared" si="3"/>
        <v>7</v>
      </c>
      <c r="F137"/>
      <c r="G137"/>
    </row>
    <row r="138" spans="1:7" x14ac:dyDescent="0.2">
      <c r="B138" s="97"/>
      <c r="C138" s="97"/>
      <c r="D138" s="97"/>
      <c r="E138" s="97">
        <f>COUNT(E8:E137)</f>
        <v>130</v>
      </c>
      <c r="F138" s="97">
        <f>SUM(F8:F132)</f>
        <v>40</v>
      </c>
    </row>
    <row r="139" spans="1:7" x14ac:dyDescent="0.2">
      <c r="E139" s="70"/>
      <c r="F139" s="70"/>
    </row>
  </sheetData>
  <autoFilter ref="A7:G132">
    <sortState ref="A8:G138">
      <sortCondition ref="B7:B132"/>
    </sortState>
  </autoFilter>
  <hyperlinks>
    <hyperlink ref="B2" r:id="rId1"/>
  </hyperlinks>
  <pageMargins left="0.75" right="0.75" top="1" bottom="1" header="0.5" footer="0.5"/>
  <pageSetup paperSize="9" orientation="portrait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Charts</vt:lpstr>
      </vt:variant>
      <vt:variant>
        <vt:i4>1</vt:i4>
      </vt:variant>
    </vt:vector>
  </HeadingPairs>
  <TitlesOfParts>
    <vt:vector size="19" baseType="lpstr">
      <vt:lpstr>Income Surveys</vt:lpstr>
      <vt:lpstr>IS Overview</vt:lpstr>
      <vt:lpstr>IS Analysis</vt:lpstr>
      <vt:lpstr>IS Data</vt:lpstr>
      <vt:lpstr>Multidimensional Surveys</vt:lpstr>
      <vt:lpstr>MD Overview</vt:lpstr>
      <vt:lpstr>MD Analysis</vt:lpstr>
      <vt:lpstr>DHS Data</vt:lpstr>
      <vt:lpstr>LSMS Data</vt:lpstr>
      <vt:lpstr>MICS Data</vt:lpstr>
      <vt:lpstr>CWIQ Data</vt:lpstr>
      <vt:lpstr>WHS</vt:lpstr>
      <vt:lpstr>PAPFAM Data</vt:lpstr>
      <vt:lpstr>ILCS or IS</vt:lpstr>
      <vt:lpstr>graph by survey type</vt:lpstr>
      <vt:lpstr>Survey increase by year</vt:lpstr>
      <vt:lpstr>all_multi</vt:lpstr>
      <vt:lpstr>Final appendix table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1</dc:creator>
  <cp:lastModifiedBy>MK</cp:lastModifiedBy>
  <dcterms:created xsi:type="dcterms:W3CDTF">2013-09-04T07:17:43Z</dcterms:created>
  <dcterms:modified xsi:type="dcterms:W3CDTF">2016-02-25T20:55:14Z</dcterms:modified>
</cp:coreProperties>
</file>